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J_県南総務共\21 総務課\8)庁舎管理\01-1 庁舎管理（委託：管内６庁舎）\R05\01 庁舎清掃\01花巻\05公告\仕様書\"/>
    </mc:Choice>
  </mc:AlternateContent>
  <bookViews>
    <workbookView xWindow="120" yWindow="48" windowWidth="14952" windowHeight="9000"/>
  </bookViews>
  <sheets>
    <sheet name="面積等調書1" sheetId="23" r:id="rId1"/>
    <sheet name="面積等調書2" sheetId="24" r:id="rId2"/>
    <sheet name="Sheet1 (3)" sheetId="22" r:id="rId3"/>
  </sheets>
  <definedNames>
    <definedName name="_xlnm._FilterDatabase" localSheetId="1" hidden="1">面積等調書2!$B$2:$Q$2</definedName>
    <definedName name="_xlnm.Print_Area" localSheetId="0">面積等調書1!$A$1:$J$62</definedName>
    <definedName name="_xlnm.Print_Area" localSheetId="1">面積等調書2!$A$1:$Q$110</definedName>
    <definedName name="_xlnm.Print_Area">#REF!</definedName>
    <definedName name="PRINT_AREA_MI">#REF!</definedName>
    <definedName name="Print_Area1">#REF!</definedName>
    <definedName name="ﾁ1">#REF!</definedName>
    <definedName name="見積書鏡">#REF!</definedName>
    <definedName name="総括表１">#REF!</definedName>
    <definedName name="総括表２">#REF!</definedName>
    <definedName name="内訳見出し">#REF!</definedName>
    <definedName name="内訳書１">#REF!</definedName>
  </definedNames>
  <calcPr calcId="162913"/>
</workbook>
</file>

<file path=xl/calcChain.xml><?xml version="1.0" encoding="utf-8"?>
<calcChain xmlns="http://schemas.openxmlformats.org/spreadsheetml/2006/main">
  <c r="I106" i="24" l="1"/>
  <c r="J106" i="24"/>
  <c r="L94" i="24"/>
  <c r="J97" i="24"/>
  <c r="J96" i="24"/>
  <c r="J95" i="24"/>
  <c r="J94" i="24"/>
  <c r="L98" i="24"/>
  <c r="L99" i="24"/>
  <c r="L100" i="24"/>
  <c r="L101" i="24"/>
  <c r="L102" i="24"/>
  <c r="L103" i="24"/>
  <c r="L104" i="24"/>
  <c r="K103" i="24"/>
  <c r="K102" i="24"/>
  <c r="J105" i="24"/>
  <c r="J104" i="24"/>
  <c r="J103" i="24"/>
  <c r="J102" i="24"/>
  <c r="J101" i="24"/>
  <c r="J100" i="24"/>
  <c r="J99" i="24"/>
  <c r="J98" i="24"/>
  <c r="J107" i="24" l="1"/>
  <c r="J30" i="24"/>
  <c r="K28" i="24" l="1"/>
  <c r="J88" i="24"/>
  <c r="J89" i="24" s="1"/>
  <c r="J71" i="24"/>
  <c r="G16" i="23"/>
  <c r="G10" i="23"/>
  <c r="G17" i="23" s="1"/>
  <c r="E1" i="22" l="1"/>
  <c r="E2" i="22"/>
  <c r="E9" i="22" s="1"/>
  <c r="E3" i="22"/>
  <c r="E4" i="22"/>
  <c r="E5" i="22"/>
  <c r="E6" i="22"/>
  <c r="E7" i="22"/>
  <c r="E8" i="22"/>
  <c r="D9" i="22"/>
  <c r="G4" i="23"/>
  <c r="G3" i="24"/>
  <c r="H3" i="24" s="1"/>
  <c r="K3" i="24"/>
  <c r="L3" i="24"/>
  <c r="G4" i="24"/>
  <c r="K4" i="24"/>
  <c r="G5" i="24"/>
  <c r="H5" i="24"/>
  <c r="K5" i="24"/>
  <c r="L5" i="24"/>
  <c r="G6" i="24"/>
  <c r="H6" i="24"/>
  <c r="K6" i="24"/>
  <c r="L6" i="24"/>
  <c r="G7" i="24"/>
  <c r="H7" i="24"/>
  <c r="K7" i="24"/>
  <c r="L7" i="24"/>
  <c r="G8" i="24"/>
  <c r="H8" i="24"/>
  <c r="I8" i="24" s="1"/>
  <c r="K8" i="24"/>
  <c r="L8" i="24"/>
  <c r="G9" i="24"/>
  <c r="K9" i="24"/>
  <c r="G10" i="24"/>
  <c r="H10" i="24" s="1"/>
  <c r="K10" i="24"/>
  <c r="L10" i="24"/>
  <c r="G11" i="24"/>
  <c r="K11" i="24"/>
  <c r="G12" i="24"/>
  <c r="K12" i="24"/>
  <c r="G13" i="24"/>
  <c r="H13" i="24" s="1"/>
  <c r="K13" i="24"/>
  <c r="G14" i="24"/>
  <c r="H14" i="24" s="1"/>
  <c r="K14" i="24"/>
  <c r="G15" i="24"/>
  <c r="H15" i="24" s="1"/>
  <c r="K15" i="24"/>
  <c r="G16" i="24"/>
  <c r="H16" i="24"/>
  <c r="K16" i="24"/>
  <c r="G17" i="24"/>
  <c r="H17" i="24" s="1"/>
  <c r="G19" i="24"/>
  <c r="G104" i="24" s="1"/>
  <c r="K19" i="24"/>
  <c r="K104" i="24" s="1"/>
  <c r="G20" i="24"/>
  <c r="G21" i="24"/>
  <c r="K21" i="24"/>
  <c r="L21" i="24"/>
  <c r="G22" i="24"/>
  <c r="G23" i="24"/>
  <c r="G24" i="24"/>
  <c r="K24" i="24"/>
  <c r="L24" i="24"/>
  <c r="G25" i="24"/>
  <c r="K25" i="24"/>
  <c r="G26" i="24"/>
  <c r="K26" i="24"/>
  <c r="G27" i="24"/>
  <c r="H27" i="24"/>
  <c r="G31" i="24"/>
  <c r="H31" i="24" s="1"/>
  <c r="K31" i="24"/>
  <c r="L31" i="24"/>
  <c r="G32" i="24"/>
  <c r="H32" i="24" s="1"/>
  <c r="K32" i="24"/>
  <c r="L32" i="24"/>
  <c r="G33" i="24"/>
  <c r="H33" i="24" s="1"/>
  <c r="K33" i="24"/>
  <c r="L33" i="24"/>
  <c r="G34" i="24"/>
  <c r="H34" i="24"/>
  <c r="K34" i="24"/>
  <c r="L34" i="24"/>
  <c r="G35" i="24"/>
  <c r="H35" i="24"/>
  <c r="K35" i="24"/>
  <c r="L35" i="24"/>
  <c r="G36" i="24"/>
  <c r="H36" i="24"/>
  <c r="K36" i="24"/>
  <c r="L36" i="24"/>
  <c r="G37" i="24"/>
  <c r="K37" i="24"/>
  <c r="G38" i="24"/>
  <c r="H38" i="24" s="1"/>
  <c r="K38" i="24"/>
  <c r="L38" i="24"/>
  <c r="G39" i="24"/>
  <c r="H39" i="24" s="1"/>
  <c r="K39" i="24"/>
  <c r="L39" i="24"/>
  <c r="G40" i="24"/>
  <c r="H40" i="24" s="1"/>
  <c r="K40" i="24"/>
  <c r="L40" i="24"/>
  <c r="G41" i="24"/>
  <c r="G42" i="24"/>
  <c r="H42" i="24" s="1"/>
  <c r="K42" i="24"/>
  <c r="G43" i="24"/>
  <c r="H43" i="24" s="1"/>
  <c r="K43" i="24"/>
  <c r="G44" i="24"/>
  <c r="H44" i="24" s="1"/>
  <c r="K44" i="24"/>
  <c r="G45" i="24"/>
  <c r="K45" i="24"/>
  <c r="G46" i="24"/>
  <c r="H46" i="24" s="1"/>
  <c r="K46" i="24"/>
  <c r="G47" i="24"/>
  <c r="H47" i="24" s="1"/>
  <c r="G49" i="24"/>
  <c r="H49" i="24" s="1"/>
  <c r="H96" i="24" s="1"/>
  <c r="K49" i="24"/>
  <c r="L49" i="24"/>
  <c r="G50" i="24"/>
  <c r="H50" i="24" s="1"/>
  <c r="G51" i="24"/>
  <c r="H51" i="24" s="1"/>
  <c r="K51" i="24"/>
  <c r="L51" i="24"/>
  <c r="G52" i="24"/>
  <c r="H52" i="24" s="1"/>
  <c r="K52" i="24"/>
  <c r="L52" i="24"/>
  <c r="G53" i="24"/>
  <c r="H53" i="24" s="1"/>
  <c r="K53" i="24"/>
  <c r="L53" i="24"/>
  <c r="G54" i="24"/>
  <c r="H54" i="24" s="1"/>
  <c r="K54" i="24"/>
  <c r="L54" i="24"/>
  <c r="G55" i="24"/>
  <c r="K55" i="24"/>
  <c r="L55" i="24"/>
  <c r="G56" i="24"/>
  <c r="K56" i="24"/>
  <c r="K97" i="24" s="1"/>
  <c r="L56" i="24"/>
  <c r="L97" i="24" s="1"/>
  <c r="G57" i="24"/>
  <c r="H57" i="24" s="1"/>
  <c r="K57" i="24"/>
  <c r="L57" i="24"/>
  <c r="G58" i="24"/>
  <c r="H58" i="24" s="1"/>
  <c r="K58" i="24"/>
  <c r="L58" i="24"/>
  <c r="G59" i="24"/>
  <c r="H59" i="24" s="1"/>
  <c r="K59" i="24"/>
  <c r="L59" i="24"/>
  <c r="G60" i="24"/>
  <c r="K60" i="24"/>
  <c r="L60" i="24"/>
  <c r="G61" i="24"/>
  <c r="K61" i="24"/>
  <c r="G62" i="24"/>
  <c r="K62" i="24"/>
  <c r="L62" i="24"/>
  <c r="G63" i="24"/>
  <c r="H63" i="24" s="1"/>
  <c r="G64" i="24"/>
  <c r="H64" i="24" s="1"/>
  <c r="K64" i="24"/>
  <c r="G65" i="24"/>
  <c r="G66" i="24"/>
  <c r="G67" i="24"/>
  <c r="H67" i="24" s="1"/>
  <c r="K67" i="24"/>
  <c r="G68" i="24"/>
  <c r="H68" i="24" s="1"/>
  <c r="K69" i="24"/>
  <c r="K105" i="24" s="1"/>
  <c r="L69" i="24"/>
  <c r="L105" i="24" s="1"/>
  <c r="I71" i="24"/>
  <c r="G72" i="24"/>
  <c r="H72" i="24" s="1"/>
  <c r="K72" i="24"/>
  <c r="L72" i="24"/>
  <c r="G73" i="24"/>
  <c r="H73" i="24" s="1"/>
  <c r="K73" i="24"/>
  <c r="L73" i="24"/>
  <c r="G74" i="24"/>
  <c r="K74" i="24"/>
  <c r="L74" i="24"/>
  <c r="G75" i="24"/>
  <c r="H75" i="24" s="1"/>
  <c r="K75" i="24"/>
  <c r="L75" i="24"/>
  <c r="G76" i="24"/>
  <c r="H76" i="24" s="1"/>
  <c r="K76" i="24"/>
  <c r="L76" i="24"/>
  <c r="G77" i="24"/>
  <c r="H77" i="24" s="1"/>
  <c r="K77" i="24"/>
  <c r="L77" i="24"/>
  <c r="G78" i="24"/>
  <c r="H78" i="24" s="1"/>
  <c r="K78" i="24"/>
  <c r="L78" i="24"/>
  <c r="G79" i="24"/>
  <c r="H79" i="24" s="1"/>
  <c r="K79" i="24"/>
  <c r="L79" i="24"/>
  <c r="G80" i="24"/>
  <c r="H80" i="24" s="1"/>
  <c r="K80" i="24"/>
  <c r="L80" i="24"/>
  <c r="G81" i="24"/>
  <c r="H81" i="24" s="1"/>
  <c r="K81" i="24"/>
  <c r="G82" i="24"/>
  <c r="H82" i="24"/>
  <c r="K82" i="24"/>
  <c r="G83" i="24"/>
  <c r="H83" i="24" s="1"/>
  <c r="K83" i="24"/>
  <c r="G84" i="24"/>
  <c r="H84" i="24" s="1"/>
  <c r="K84" i="24"/>
  <c r="G85" i="24"/>
  <c r="H85" i="24" s="1"/>
  <c r="K85" i="24"/>
  <c r="K98" i="24" s="1"/>
  <c r="I88" i="24"/>
  <c r="K90" i="24"/>
  <c r="K91" i="24"/>
  <c r="H94" i="24"/>
  <c r="I94" i="24"/>
  <c r="I96" i="24"/>
  <c r="G97" i="24"/>
  <c r="H97" i="24"/>
  <c r="I97" i="24"/>
  <c r="I98" i="24"/>
  <c r="I99" i="24"/>
  <c r="G100" i="24"/>
  <c r="I100" i="24"/>
  <c r="G101" i="24"/>
  <c r="I101" i="24"/>
  <c r="G102" i="24"/>
  <c r="H102" i="24"/>
  <c r="I102" i="24"/>
  <c r="H103" i="24"/>
  <c r="I103" i="24"/>
  <c r="H104" i="24"/>
  <c r="I104" i="24"/>
  <c r="H105" i="24"/>
  <c r="I105" i="24"/>
  <c r="G69" i="24"/>
  <c r="H99" i="24" l="1"/>
  <c r="H30" i="24"/>
  <c r="H95" i="24"/>
  <c r="H88" i="24"/>
  <c r="H89" i="24" s="1"/>
  <c r="H98" i="24"/>
  <c r="H71" i="24"/>
  <c r="H100" i="24"/>
  <c r="H101" i="24"/>
  <c r="I30" i="24"/>
  <c r="I95" i="24"/>
  <c r="K71" i="24"/>
  <c r="K101" i="24"/>
  <c r="H106" i="24"/>
  <c r="L95" i="24"/>
  <c r="L30" i="24"/>
  <c r="G98" i="24"/>
  <c r="G86" i="24"/>
  <c r="K88" i="24"/>
  <c r="G96" i="24"/>
  <c r="K99" i="24"/>
  <c r="G106" i="24"/>
  <c r="K95" i="24"/>
  <c r="K30" i="24"/>
  <c r="G99" i="24"/>
  <c r="G71" i="24"/>
  <c r="L96" i="24"/>
  <c r="K100" i="24"/>
  <c r="L106" i="24"/>
  <c r="K94" i="24"/>
  <c r="I89" i="24"/>
  <c r="L88" i="24"/>
  <c r="G88" i="24"/>
  <c r="L71" i="24"/>
  <c r="K96" i="24"/>
  <c r="K106" i="24"/>
  <c r="G94" i="24"/>
  <c r="G28" i="24"/>
  <c r="G95" i="24"/>
  <c r="I107" i="24"/>
  <c r="H107" i="24" l="1"/>
  <c r="L89" i="24"/>
  <c r="K89" i="24"/>
  <c r="L107" i="24"/>
  <c r="G30" i="24"/>
  <c r="G89" i="24" s="1"/>
  <c r="G105" i="24"/>
  <c r="G107" i="24" s="1"/>
  <c r="K107" i="24"/>
</calcChain>
</file>

<file path=xl/comments1.xml><?xml version="1.0" encoding="utf-8"?>
<comments xmlns="http://schemas.openxmlformats.org/spreadsheetml/2006/main">
  <authors>
    <author>花巻総務セ　髙橋　9-29-203</author>
  </authors>
  <commentList>
    <comment ref="G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「１階本館＋新館」の小計と「清掃面積等調書に示す延べ床面積」が一致するよう調整している数値
具体的な場所は指していない</t>
        </r>
      </text>
    </comment>
    <comment ref="M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暗室・操作室を含む</t>
        </r>
      </text>
    </comment>
    <comment ref="G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当方でもどこを指すのか不明
（何かの調整値と推測）</t>
        </r>
      </text>
    </comment>
    <comment ref="G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「２階本館＋新館」の小計と「清掃面積等調書に示す延べ床面積」が一致するよう調整している数値
具体的な場所は指していない</t>
        </r>
      </text>
    </comment>
    <comment ref="M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滅菌室を指す</t>
        </r>
      </text>
    </comment>
  </commentList>
</comments>
</file>

<file path=xl/sharedStrings.xml><?xml version="1.0" encoding="utf-8"?>
<sst xmlns="http://schemas.openxmlformats.org/spreadsheetml/2006/main" count="368" uniqueCount="173">
  <si>
    <t>計</t>
    <rPh sb="0" eb="1">
      <t>ケイ</t>
    </rPh>
    <phoneticPr fontId="2"/>
  </si>
  <si>
    <t>備考</t>
    <rPh sb="0" eb="2">
      <t>ビコウ</t>
    </rPh>
    <phoneticPr fontId="2"/>
  </si>
  <si>
    <t>玄関ホール</t>
    <rPh sb="0" eb="2">
      <t>ゲンカン</t>
    </rPh>
    <phoneticPr fontId="2"/>
  </si>
  <si>
    <t>会議室</t>
    <rPh sb="0" eb="3">
      <t>カイギシツ</t>
    </rPh>
    <phoneticPr fontId="2"/>
  </si>
  <si>
    <t>廊下</t>
    <rPh sb="0" eb="2">
      <t>ロウカ</t>
    </rPh>
    <phoneticPr fontId="2"/>
  </si>
  <si>
    <t>便所・洗面所</t>
    <rPh sb="0" eb="2">
      <t>ベンジョ</t>
    </rPh>
    <rPh sb="3" eb="6">
      <t>センメンジョ</t>
    </rPh>
    <phoneticPr fontId="2"/>
  </si>
  <si>
    <t>喫煙スペース</t>
    <rPh sb="0" eb="2">
      <t>キツエン</t>
    </rPh>
    <phoneticPr fontId="2"/>
  </si>
  <si>
    <t>湯沸室</t>
    <rPh sb="0" eb="2">
      <t>ユワ</t>
    </rPh>
    <rPh sb="2" eb="3">
      <t>シツ</t>
    </rPh>
    <phoneticPr fontId="2"/>
  </si>
  <si>
    <t>面積</t>
    <rPh sb="0" eb="2">
      <t>メンセキ</t>
    </rPh>
    <phoneticPr fontId="2"/>
  </si>
  <si>
    <t>ブラインド</t>
    <phoneticPr fontId="2"/>
  </si>
  <si>
    <t>㎡</t>
    <phoneticPr fontId="2"/>
  </si>
  <si>
    <t>基</t>
    <rPh sb="0" eb="1">
      <t>キ</t>
    </rPh>
    <phoneticPr fontId="2"/>
  </si>
  <si>
    <t>大</t>
    <rPh sb="0" eb="1">
      <t>ダイ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</si>
  <si>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</si>
  <si>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</si>
  <si>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階段</t>
    <rPh sb="0" eb="2">
      <t>カイダン</t>
    </rPh>
    <phoneticPr fontId="2"/>
  </si>
  <si>
    <t>車庫</t>
    <rPh sb="0" eb="2">
      <t>シャコ</t>
    </rPh>
    <phoneticPr fontId="2"/>
  </si>
  <si>
    <t>母性相談室</t>
    <rPh sb="0" eb="2">
      <t>ボセイ</t>
    </rPh>
    <rPh sb="2" eb="5">
      <t>ソウダンシツ</t>
    </rPh>
    <phoneticPr fontId="2"/>
  </si>
  <si>
    <t>成人病相談室</t>
    <rPh sb="0" eb="3">
      <t>セイジンビョウ</t>
    </rPh>
    <rPh sb="3" eb="6">
      <t>ソウダンシツ</t>
    </rPh>
    <phoneticPr fontId="2"/>
  </si>
  <si>
    <t>小児相談室</t>
    <rPh sb="0" eb="2">
      <t>ショウニ</t>
    </rPh>
    <rPh sb="2" eb="5">
      <t>ソウダンシツ</t>
    </rPh>
    <phoneticPr fontId="2"/>
  </si>
  <si>
    <t>細菌試験室</t>
    <rPh sb="0" eb="2">
      <t>サイキン</t>
    </rPh>
    <rPh sb="2" eb="5">
      <t>シケンシツ</t>
    </rPh>
    <phoneticPr fontId="2"/>
  </si>
  <si>
    <t>化学試験室</t>
    <rPh sb="0" eb="2">
      <t>カガク</t>
    </rPh>
    <rPh sb="2" eb="5">
      <t>シケンシツ</t>
    </rPh>
    <phoneticPr fontId="2"/>
  </si>
  <si>
    <t>２Ｆ新館</t>
    <rPh sb="2" eb="4">
      <t>シンカン</t>
    </rPh>
    <phoneticPr fontId="2"/>
  </si>
  <si>
    <t>コピー室</t>
    <rPh sb="3" eb="4">
      <t>シツ</t>
    </rPh>
    <phoneticPr fontId="2"/>
  </si>
  <si>
    <t>Ｘ線室</t>
    <rPh sb="1" eb="2">
      <t>セン</t>
    </rPh>
    <rPh sb="2" eb="3">
      <t>シツ</t>
    </rPh>
    <phoneticPr fontId="2"/>
  </si>
  <si>
    <t>教育事務所</t>
    <rPh sb="0" eb="2">
      <t>キョウイク</t>
    </rPh>
    <rPh sb="2" eb="5">
      <t>ジムショ</t>
    </rPh>
    <phoneticPr fontId="2"/>
  </si>
  <si>
    <t>倉庫</t>
    <rPh sb="0" eb="2">
      <t>ソウコ</t>
    </rPh>
    <phoneticPr fontId="2"/>
  </si>
  <si>
    <t>女子更衣室</t>
    <rPh sb="0" eb="2">
      <t>ジョシ</t>
    </rPh>
    <rPh sb="2" eb="5">
      <t>コウイシツ</t>
    </rPh>
    <phoneticPr fontId="2"/>
  </si>
  <si>
    <t>薬品庫</t>
    <rPh sb="0" eb="2">
      <t>ヤクヒン</t>
    </rPh>
    <rPh sb="2" eb="3">
      <t>コ</t>
    </rPh>
    <phoneticPr fontId="2"/>
  </si>
  <si>
    <t>男子更衣室</t>
    <rPh sb="0" eb="2">
      <t>ダンシ</t>
    </rPh>
    <rPh sb="2" eb="5">
      <t>コウイシツ</t>
    </rPh>
    <phoneticPr fontId="2"/>
  </si>
  <si>
    <t>第１会議室</t>
    <rPh sb="0" eb="1">
      <t>ダイ</t>
    </rPh>
    <rPh sb="2" eb="5">
      <t>カイギシツ</t>
    </rPh>
    <phoneticPr fontId="2"/>
  </si>
  <si>
    <t>第２会議室</t>
    <rPh sb="0" eb="1">
      <t>ダイ</t>
    </rPh>
    <rPh sb="2" eb="5">
      <t>カイギシツ</t>
    </rPh>
    <phoneticPr fontId="2"/>
  </si>
  <si>
    <t>第３会議室</t>
    <rPh sb="0" eb="1">
      <t>ダイ</t>
    </rPh>
    <rPh sb="2" eb="5">
      <t>カイギシツ</t>
    </rPh>
    <phoneticPr fontId="2"/>
  </si>
  <si>
    <t>第４会議室</t>
    <rPh sb="0" eb="1">
      <t>ダイ</t>
    </rPh>
    <rPh sb="2" eb="5">
      <t>カイギシツ</t>
    </rPh>
    <phoneticPr fontId="2"/>
  </si>
  <si>
    <t>特別会議室</t>
    <rPh sb="0" eb="2">
      <t>トクベツ</t>
    </rPh>
    <rPh sb="2" eb="5">
      <t>カイギシツ</t>
    </rPh>
    <phoneticPr fontId="2"/>
  </si>
  <si>
    <t>閲覧室</t>
    <rPh sb="0" eb="3">
      <t>エツランシツ</t>
    </rPh>
    <phoneticPr fontId="2"/>
  </si>
  <si>
    <t>組合事務所</t>
    <rPh sb="0" eb="2">
      <t>クミアイ</t>
    </rPh>
    <rPh sb="2" eb="5">
      <t>ジムショ</t>
    </rPh>
    <phoneticPr fontId="2"/>
  </si>
  <si>
    <t>電話機械室</t>
    <rPh sb="0" eb="2">
      <t>デンワ</t>
    </rPh>
    <rPh sb="2" eb="5">
      <t>キカイシツ</t>
    </rPh>
    <phoneticPr fontId="2"/>
  </si>
  <si>
    <t>調達物品庫</t>
    <rPh sb="0" eb="2">
      <t>チョウタツ</t>
    </rPh>
    <rPh sb="2" eb="4">
      <t>ブッピン</t>
    </rPh>
    <rPh sb="4" eb="5">
      <t>コ</t>
    </rPh>
    <phoneticPr fontId="2"/>
  </si>
  <si>
    <t>暗室</t>
    <rPh sb="0" eb="2">
      <t>アンシツ</t>
    </rPh>
    <phoneticPr fontId="2"/>
  </si>
  <si>
    <t>静養室</t>
    <rPh sb="0" eb="3">
      <t>セイヨウシツ</t>
    </rPh>
    <phoneticPr fontId="2"/>
  </si>
  <si>
    <t>宿直室</t>
    <rPh sb="0" eb="3">
      <t>シュクチョクシツ</t>
    </rPh>
    <phoneticPr fontId="2"/>
  </si>
  <si>
    <t>ボイラー室</t>
    <rPh sb="4" eb="5">
      <t>シツ</t>
    </rPh>
    <phoneticPr fontId="2"/>
  </si>
  <si>
    <t>180*200</t>
    <phoneticPr fontId="2"/>
  </si>
  <si>
    <t>140*200</t>
    <phoneticPr fontId="2"/>
  </si>
  <si>
    <t>90*200</t>
    <phoneticPr fontId="2"/>
  </si>
  <si>
    <t>2F</t>
    <phoneticPr fontId="2"/>
  </si>
  <si>
    <t>3F</t>
    <phoneticPr fontId="2"/>
  </si>
  <si>
    <t>75*200</t>
    <phoneticPr fontId="2"/>
  </si>
  <si>
    <t>区分</t>
    <rPh sb="0" eb="2">
      <t>クブン</t>
    </rPh>
    <phoneticPr fontId="2"/>
  </si>
  <si>
    <t>土木部書庫</t>
    <rPh sb="0" eb="3">
      <t>ドボクブ</t>
    </rPh>
    <rPh sb="3" eb="5">
      <t>ショコ</t>
    </rPh>
    <phoneticPr fontId="2"/>
  </si>
  <si>
    <t>１Ｆ～2F階段</t>
    <rPh sb="5" eb="7">
      <t>カイダン</t>
    </rPh>
    <phoneticPr fontId="2"/>
  </si>
  <si>
    <t>給湯室</t>
    <rPh sb="0" eb="3">
      <t>キュウトウシツ</t>
    </rPh>
    <phoneticPr fontId="2"/>
  </si>
  <si>
    <t>会議室トイレ</t>
    <rPh sb="0" eb="3">
      <t>カイギシツ</t>
    </rPh>
    <phoneticPr fontId="2"/>
  </si>
  <si>
    <t>教育事務所倉庫</t>
    <rPh sb="5" eb="7">
      <t>ソウコ</t>
    </rPh>
    <phoneticPr fontId="2"/>
  </si>
  <si>
    <t>浴室</t>
    <rPh sb="0" eb="2">
      <t>ヨクシツ</t>
    </rPh>
    <phoneticPr fontId="2"/>
  </si>
  <si>
    <t>用務員室</t>
    <rPh sb="0" eb="3">
      <t>ヨウムイン</t>
    </rPh>
    <rPh sb="3" eb="4">
      <t>シツ</t>
    </rPh>
    <phoneticPr fontId="2"/>
  </si>
  <si>
    <t>セメント実験室</t>
    <rPh sb="4" eb="7">
      <t>ジッケンシツ</t>
    </rPh>
    <phoneticPr fontId="2"/>
  </si>
  <si>
    <t>運転手控室</t>
    <rPh sb="0" eb="3">
      <t>ウンテンシュ</t>
    </rPh>
    <rPh sb="3" eb="5">
      <t>ヒカエシツ</t>
    </rPh>
    <phoneticPr fontId="2"/>
  </si>
  <si>
    <t>１Ｆ新館</t>
    <rPh sb="2" eb="4">
      <t>シンカン</t>
    </rPh>
    <phoneticPr fontId="2"/>
  </si>
  <si>
    <t>１　建物概要</t>
    <rPh sb="2" eb="4">
      <t>タテモノ</t>
    </rPh>
    <rPh sb="4" eb="6">
      <t>ガイヨウ</t>
    </rPh>
    <phoneticPr fontId="2"/>
  </si>
  <si>
    <t>庁舎　地上３階建</t>
    <rPh sb="0" eb="2">
      <t>チョウシャ</t>
    </rPh>
    <rPh sb="3" eb="5">
      <t>チジョウ</t>
    </rPh>
    <rPh sb="6" eb="8">
      <t>カイダ</t>
    </rPh>
    <phoneticPr fontId="2"/>
  </si>
  <si>
    <t>建築面積</t>
    <rPh sb="0" eb="2">
      <t>ケンチク</t>
    </rPh>
    <rPh sb="2" eb="4">
      <t>メンセキ</t>
    </rPh>
    <phoneticPr fontId="2"/>
  </si>
  <si>
    <t>１Ｆ面積</t>
    <rPh sb="2" eb="4">
      <t>メンセキ</t>
    </rPh>
    <phoneticPr fontId="2"/>
  </si>
  <si>
    <t>２Ｆ面積</t>
    <rPh sb="2" eb="4">
      <t>メンセキ</t>
    </rPh>
    <phoneticPr fontId="2"/>
  </si>
  <si>
    <t>３Ｆ面積</t>
    <rPh sb="2" eb="4">
      <t>メンセキ</t>
    </rPh>
    <phoneticPr fontId="2"/>
  </si>
  <si>
    <t>総面積</t>
    <rPh sb="0" eb="3">
      <t>ソウメンセキ</t>
    </rPh>
    <phoneticPr fontId="2"/>
  </si>
  <si>
    <t>付属建物</t>
    <rPh sb="0" eb="2">
      <t>フゾク</t>
    </rPh>
    <rPh sb="2" eb="4">
      <t>タテモノ</t>
    </rPh>
    <phoneticPr fontId="2"/>
  </si>
  <si>
    <t>文書保存庫</t>
    <rPh sb="0" eb="2">
      <t>ブンショ</t>
    </rPh>
    <rPh sb="2" eb="5">
      <t>ホゾンコ</t>
    </rPh>
    <phoneticPr fontId="2"/>
  </si>
  <si>
    <t>延べ床面積</t>
    <rPh sb="0" eb="1">
      <t>ノ</t>
    </rPh>
    <rPh sb="2" eb="5">
      <t>ユカメンセキ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</si>
  <si>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</si>
  <si>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</si>
  <si>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内訳</t>
    <rPh sb="0" eb="2">
      <t>ウチワケ</t>
    </rPh>
    <phoneticPr fontId="2"/>
  </si>
  <si>
    <t>温水器スペース</t>
    <rPh sb="0" eb="3">
      <t>オンスイキ</t>
    </rPh>
    <phoneticPr fontId="2"/>
  </si>
  <si>
    <t>その他</t>
    <rPh sb="2" eb="3">
      <t>タ</t>
    </rPh>
    <phoneticPr fontId="2"/>
  </si>
  <si>
    <t>室名</t>
    <rPh sb="0" eb="1">
      <t>シツ</t>
    </rPh>
    <rPh sb="1" eb="2">
      <t>メイ</t>
    </rPh>
    <phoneticPr fontId="2"/>
  </si>
  <si>
    <t>3Ｆ～屋上階段</t>
    <rPh sb="3" eb="5">
      <t>オクジョウ</t>
    </rPh>
    <rPh sb="5" eb="7">
      <t>カイダン</t>
    </rPh>
    <phoneticPr fontId="2"/>
  </si>
  <si>
    <t>㎡</t>
    <phoneticPr fontId="2"/>
  </si>
  <si>
    <t>ﾜｯｸｽ塗布面積</t>
    <rPh sb="4" eb="6">
      <t>トフ</t>
    </rPh>
    <rPh sb="6" eb="8">
      <t>メンセキ</t>
    </rPh>
    <phoneticPr fontId="2"/>
  </si>
  <si>
    <t>相談室トイレ</t>
    <rPh sb="0" eb="3">
      <t>ソウダンシツ</t>
    </rPh>
    <phoneticPr fontId="2"/>
  </si>
  <si>
    <t>付属</t>
    <rPh sb="0" eb="2">
      <t>フゾク</t>
    </rPh>
    <phoneticPr fontId="2"/>
  </si>
  <si>
    <t>身障者用トイレ</t>
    <rPh sb="0" eb="3">
      <t>シンショウシャ</t>
    </rPh>
    <rPh sb="3" eb="4">
      <t>ヨウ</t>
    </rPh>
    <phoneticPr fontId="2"/>
  </si>
  <si>
    <t>繊維床</t>
    <rPh sb="0" eb="2">
      <t>センイ</t>
    </rPh>
    <rPh sb="2" eb="3">
      <t>ユカ</t>
    </rPh>
    <phoneticPr fontId="2"/>
  </si>
  <si>
    <t>駐車場、庭園及び自転車置き場</t>
    <rPh sb="0" eb="3">
      <t>チュウシャジョウ</t>
    </rPh>
    <rPh sb="4" eb="6">
      <t>テイエン</t>
    </rPh>
    <rPh sb="6" eb="7">
      <t>オヨ</t>
    </rPh>
    <rPh sb="8" eb="11">
      <t>ジテンシャ</t>
    </rPh>
    <rPh sb="11" eb="12">
      <t>オ</t>
    </rPh>
    <rPh sb="13" eb="14">
      <t>バ</t>
    </rPh>
    <phoneticPr fontId="2"/>
  </si>
  <si>
    <t>1F</t>
    <phoneticPr fontId="2"/>
  </si>
  <si>
    <t>大便器</t>
    <rPh sb="0" eb="2">
      <t>ダイベン</t>
    </rPh>
    <rPh sb="2" eb="3">
      <t>キ</t>
    </rPh>
    <phoneticPr fontId="2"/>
  </si>
  <si>
    <t>個</t>
    <rPh sb="0" eb="1">
      <t>コ</t>
    </rPh>
    <phoneticPr fontId="2"/>
  </si>
  <si>
    <t>小便器</t>
    <rPh sb="0" eb="2">
      <t>ショウベン</t>
    </rPh>
    <rPh sb="2" eb="3">
      <t>キ</t>
    </rPh>
    <phoneticPr fontId="2"/>
  </si>
  <si>
    <t>手洗器</t>
    <rPh sb="0" eb="2">
      <t>テアラ</t>
    </rPh>
    <rPh sb="2" eb="3">
      <t>キ</t>
    </rPh>
    <phoneticPr fontId="2"/>
  </si>
  <si>
    <t>箇所</t>
    <rPh sb="0" eb="2">
      <t>カショ</t>
    </rPh>
    <phoneticPr fontId="2"/>
  </si>
  <si>
    <t>水石けん入れ</t>
    <rPh sb="0" eb="1">
      <t>ミズ</t>
    </rPh>
    <rPh sb="1" eb="2">
      <t>セッ</t>
    </rPh>
    <rPh sb="4" eb="5">
      <t>イ</t>
    </rPh>
    <phoneticPr fontId="2"/>
  </si>
  <si>
    <t>化粧鏡</t>
    <rPh sb="0" eb="2">
      <t>ケショウ</t>
    </rPh>
    <rPh sb="2" eb="3">
      <t>カガミ</t>
    </rPh>
    <phoneticPr fontId="2"/>
  </si>
  <si>
    <t>枚</t>
    <rPh sb="0" eb="1">
      <t>マイ</t>
    </rPh>
    <phoneticPr fontId="2"/>
  </si>
  <si>
    <t>人工肛門洗浄ｼｽﾃﾑ</t>
    <rPh sb="0" eb="2">
      <t>ジンコウ</t>
    </rPh>
    <rPh sb="2" eb="4">
      <t>コウモン</t>
    </rPh>
    <rPh sb="4" eb="6">
      <t>センジョウ</t>
    </rPh>
    <phoneticPr fontId="2"/>
  </si>
  <si>
    <t>台</t>
    <rPh sb="0" eb="1">
      <t>ダイ</t>
    </rPh>
    <phoneticPr fontId="2"/>
  </si>
  <si>
    <t>茶殻及び残飯集積所</t>
    <rPh sb="0" eb="2">
      <t>チャガラ</t>
    </rPh>
    <rPh sb="2" eb="3">
      <t>オヨ</t>
    </rPh>
    <rPh sb="4" eb="6">
      <t>ザンパン</t>
    </rPh>
    <rPh sb="6" eb="9">
      <t>シュウセキショ</t>
    </rPh>
    <phoneticPr fontId="2"/>
  </si>
  <si>
    <t>湯沸場</t>
    <rPh sb="0" eb="2">
      <t>ユワ</t>
    </rPh>
    <rPh sb="2" eb="3">
      <t>バ</t>
    </rPh>
    <phoneticPr fontId="2"/>
  </si>
  <si>
    <t>靴洗場</t>
    <rPh sb="0" eb="1">
      <t>クツ</t>
    </rPh>
    <rPh sb="1" eb="2">
      <t>アラ</t>
    </rPh>
    <rPh sb="2" eb="3">
      <t>バ</t>
    </rPh>
    <phoneticPr fontId="2"/>
  </si>
  <si>
    <t>事務室・会議室繊維床</t>
    <rPh sb="0" eb="3">
      <t>ジムシツ</t>
    </rPh>
    <rPh sb="4" eb="7">
      <t>カイギシツ</t>
    </rPh>
    <rPh sb="7" eb="9">
      <t>センイ</t>
    </rPh>
    <rPh sb="9" eb="10">
      <t>ユカ</t>
    </rPh>
    <phoneticPr fontId="2"/>
  </si>
  <si>
    <t>清掃不要</t>
    <rPh sb="0" eb="2">
      <t>セイソウ</t>
    </rPh>
    <rPh sb="2" eb="4">
      <t>フヨウ</t>
    </rPh>
    <phoneticPr fontId="2"/>
  </si>
  <si>
    <t>2F～3F保健所階段</t>
    <rPh sb="5" eb="8">
      <t>ホケンジョ</t>
    </rPh>
    <rPh sb="8" eb="10">
      <t>カイダン</t>
    </rPh>
    <phoneticPr fontId="2"/>
  </si>
  <si>
    <t>１Ｆ～２F階段</t>
    <rPh sb="5" eb="7">
      <t>カイダン</t>
    </rPh>
    <phoneticPr fontId="2"/>
  </si>
  <si>
    <t>2F～車庫　階段</t>
    <rPh sb="3" eb="5">
      <t>シャコ</t>
    </rPh>
    <rPh sb="6" eb="8">
      <t>カイダン</t>
    </rPh>
    <phoneticPr fontId="2"/>
  </si>
  <si>
    <t>情報ﾊｲｳｪｲ室</t>
    <rPh sb="0" eb="2">
      <t>ジョウホウ</t>
    </rPh>
    <rPh sb="7" eb="8">
      <t>シツ</t>
    </rPh>
    <phoneticPr fontId="2"/>
  </si>
  <si>
    <t>剥離洗浄面積</t>
    <rPh sb="0" eb="2">
      <t>ハクリ</t>
    </rPh>
    <rPh sb="2" eb="4">
      <t>センジョウ</t>
    </rPh>
    <rPh sb="4" eb="6">
      <t>メンセキ</t>
    </rPh>
    <phoneticPr fontId="2"/>
  </si>
  <si>
    <t>県税センター</t>
    <rPh sb="0" eb="2">
      <t>ケンゼイ</t>
    </rPh>
    <phoneticPr fontId="2"/>
  </si>
  <si>
    <t>保健福祉環境センター</t>
    <rPh sb="0" eb="2">
      <t>ホケン</t>
    </rPh>
    <rPh sb="2" eb="4">
      <t>フクシ</t>
    </rPh>
    <rPh sb="4" eb="6">
      <t>カンキョウ</t>
    </rPh>
    <phoneticPr fontId="2"/>
  </si>
  <si>
    <t>保健福祉書庫</t>
    <rPh sb="0" eb="2">
      <t>ホケン</t>
    </rPh>
    <rPh sb="2" eb="4">
      <t>フクシ</t>
    </rPh>
    <rPh sb="4" eb="6">
      <t>ショコ</t>
    </rPh>
    <phoneticPr fontId="2"/>
  </si>
  <si>
    <t>総務センター</t>
    <rPh sb="0" eb="2">
      <t>ソウム</t>
    </rPh>
    <phoneticPr fontId="2"/>
  </si>
  <si>
    <t>農林振興センター</t>
    <rPh sb="0" eb="2">
      <t>ノウリン</t>
    </rPh>
    <rPh sb="2" eb="4">
      <t>シンコウ</t>
    </rPh>
    <phoneticPr fontId="2"/>
  </si>
  <si>
    <t>書庫</t>
    <rPh sb="0" eb="2">
      <t>ショコ</t>
    </rPh>
    <phoneticPr fontId="2"/>
  </si>
  <si>
    <t>照明器具</t>
    <rPh sb="0" eb="2">
      <t>ショウメイ</t>
    </rPh>
    <rPh sb="2" eb="4">
      <t>キグ</t>
    </rPh>
    <phoneticPr fontId="2"/>
  </si>
  <si>
    <t>窓ガラス（片面）</t>
    <rPh sb="0" eb="1">
      <t>マド</t>
    </rPh>
    <rPh sb="5" eb="6">
      <t>カタ</t>
    </rPh>
    <rPh sb="6" eb="7">
      <t>メン</t>
    </rPh>
    <phoneticPr fontId="2"/>
  </si>
  <si>
    <t>正面玄関ホール</t>
    <rPh sb="0" eb="2">
      <t>ショウメン</t>
    </rPh>
    <rPh sb="2" eb="4">
      <t>ゲンカン</t>
    </rPh>
    <phoneticPr fontId="2"/>
  </si>
  <si>
    <t>保健所玄関ホール</t>
    <rPh sb="0" eb="3">
      <t>ホケンジョ</t>
    </rPh>
    <rPh sb="3" eb="5">
      <t>ゲンカン</t>
    </rPh>
    <phoneticPr fontId="2"/>
  </si>
  <si>
    <t>事務室</t>
    <rPh sb="0" eb="3">
      <t>ジムシツ</t>
    </rPh>
    <phoneticPr fontId="2"/>
  </si>
  <si>
    <t>㎡</t>
    <phoneticPr fontId="2"/>
  </si>
  <si>
    <t>㎡</t>
    <phoneticPr fontId="2"/>
  </si>
  <si>
    <t>㎡</t>
    <phoneticPr fontId="2"/>
  </si>
  <si>
    <t>㎡</t>
    <phoneticPr fontId="2"/>
  </si>
  <si>
    <t>　　　</t>
    <phoneticPr fontId="2"/>
  </si>
  <si>
    <t>敷地面積</t>
    <rPh sb="0" eb="2">
      <t>シキチ</t>
    </rPh>
    <rPh sb="2" eb="4">
      <t>メンセキ</t>
    </rPh>
    <phoneticPr fontId="2"/>
  </si>
  <si>
    <t>１Ｆ本館</t>
    <rPh sb="2" eb="4">
      <t>ホンカン</t>
    </rPh>
    <phoneticPr fontId="2"/>
  </si>
  <si>
    <t>２Ｆ本館</t>
    <rPh sb="2" eb="4">
      <t>ホンカン</t>
    </rPh>
    <phoneticPr fontId="2"/>
  </si>
  <si>
    <t>３Ｆ本館</t>
    <rPh sb="2" eb="4">
      <t>ホンカン</t>
    </rPh>
    <phoneticPr fontId="2"/>
  </si>
  <si>
    <t>照明カバー付き</t>
    <rPh sb="0" eb="2">
      <t>ショウメイ</t>
    </rPh>
    <rPh sb="5" eb="6">
      <t>ツ</t>
    </rPh>
    <phoneticPr fontId="2"/>
  </si>
  <si>
    <t>行政サブセンター</t>
    <rPh sb="0" eb="2">
      <t>ギョウセイ</t>
    </rPh>
    <phoneticPr fontId="2"/>
  </si>
  <si>
    <t>照明カバー付き４</t>
    <rPh sb="0" eb="2">
      <t>ショウメイ</t>
    </rPh>
    <rPh sb="5" eb="6">
      <t>ツ</t>
    </rPh>
    <phoneticPr fontId="2"/>
  </si>
  <si>
    <t>照明カバー付き３</t>
    <rPh sb="0" eb="2">
      <t>ショウメイ</t>
    </rPh>
    <rPh sb="5" eb="6">
      <t>ツ</t>
    </rPh>
    <phoneticPr fontId="2"/>
  </si>
  <si>
    <t>３Fベランダ</t>
    <phoneticPr fontId="2"/>
  </si>
  <si>
    <t>２　清掃面積</t>
    <rPh sb="2" eb="4">
      <t>セイソウ</t>
    </rPh>
    <rPh sb="4" eb="6">
      <t>メンセキ</t>
    </rPh>
    <phoneticPr fontId="2"/>
  </si>
  <si>
    <t>片面</t>
    <rPh sb="0" eb="2">
      <t>カタメン</t>
    </rPh>
    <phoneticPr fontId="2"/>
  </si>
  <si>
    <t>　（１）　建物</t>
    <rPh sb="5" eb="7">
      <t>タテモノ</t>
    </rPh>
    <phoneticPr fontId="2"/>
  </si>
  <si>
    <t>　（３）　剥離洗浄ﾜｯｸｽ塗布</t>
    <rPh sb="5" eb="7">
      <t>ハクリ</t>
    </rPh>
    <rPh sb="7" eb="9">
      <t>センジョウ</t>
    </rPh>
    <rPh sb="13" eb="15">
      <t>トフ</t>
    </rPh>
    <phoneticPr fontId="2"/>
  </si>
  <si>
    <t>　（２）　ワックス塗布</t>
    <rPh sb="9" eb="11">
      <t>トフ</t>
    </rPh>
    <phoneticPr fontId="2"/>
  </si>
  <si>
    <t>㎡</t>
    <phoneticPr fontId="2"/>
  </si>
  <si>
    <t>　（４）　外構</t>
    <phoneticPr fontId="2"/>
  </si>
  <si>
    <t>　（５）　衛生器具等</t>
    <rPh sb="5" eb="7">
      <t>エイセイ</t>
    </rPh>
    <rPh sb="7" eb="9">
      <t>キグ</t>
    </rPh>
    <rPh sb="9" eb="10">
      <t>トウ</t>
    </rPh>
    <phoneticPr fontId="2"/>
  </si>
  <si>
    <t>　（６）　給排水設備等</t>
    <rPh sb="5" eb="8">
      <t>キュウハイスイ</t>
    </rPh>
    <rPh sb="8" eb="10">
      <t>セツビ</t>
    </rPh>
    <rPh sb="10" eb="11">
      <t>トウ</t>
    </rPh>
    <phoneticPr fontId="2"/>
  </si>
  <si>
    <t>　（７）　窓ガラス</t>
    <rPh sb="5" eb="6">
      <t>マド</t>
    </rPh>
    <phoneticPr fontId="2"/>
  </si>
  <si>
    <t>　（８）　ブラインド</t>
    <phoneticPr fontId="2"/>
  </si>
  <si>
    <t>清　掃　面　積　等　調　書</t>
    <rPh sb="0" eb="1">
      <t>キヨシ</t>
    </rPh>
    <rPh sb="2" eb="3">
      <t>ハ</t>
    </rPh>
    <rPh sb="4" eb="5">
      <t>メン</t>
    </rPh>
    <rPh sb="6" eb="7">
      <t>セキ</t>
    </rPh>
    <rPh sb="8" eb="9">
      <t>トウ</t>
    </rPh>
    <rPh sb="10" eb="11">
      <t>チョウ</t>
    </rPh>
    <rPh sb="12" eb="13">
      <t>ショ</t>
    </rPh>
    <phoneticPr fontId="2"/>
  </si>
  <si>
    <t>１Ｆトイレ</t>
    <phoneticPr fontId="2"/>
  </si>
  <si>
    <t>２Ｆトイレ</t>
    <phoneticPr fontId="2"/>
  </si>
  <si>
    <t>３Ｆトイレ</t>
    <phoneticPr fontId="2"/>
  </si>
  <si>
    <t>　（９）　照明器具</t>
    <rPh sb="5" eb="7">
      <t>ショウメイ</t>
    </rPh>
    <rPh sb="7" eb="9">
      <t>キグ</t>
    </rPh>
    <phoneticPr fontId="2"/>
  </si>
  <si>
    <t>　（10）　什器・備品</t>
    <rPh sb="6" eb="8">
      <t>ジュウキ</t>
    </rPh>
    <rPh sb="9" eb="11">
      <t>ビヒン</t>
    </rPh>
    <phoneticPr fontId="2"/>
  </si>
  <si>
    <t>カバーなし</t>
    <phoneticPr fontId="2"/>
  </si>
  <si>
    <t>カバー付き</t>
    <rPh sb="3" eb="4">
      <t>ツ</t>
    </rPh>
    <phoneticPr fontId="2"/>
  </si>
  <si>
    <t>借り上げ駐車場</t>
    <rPh sb="0" eb="1">
      <t>カ</t>
    </rPh>
    <rPh sb="2" eb="3">
      <t>ア</t>
    </rPh>
    <rPh sb="4" eb="7">
      <t>チュウシャジョウ</t>
    </rPh>
    <phoneticPr fontId="2"/>
  </si>
  <si>
    <t>㎡</t>
    <phoneticPr fontId="2"/>
  </si>
  <si>
    <t>玄関周り</t>
    <rPh sb="0" eb="2">
      <t>ゲンカン</t>
    </rPh>
    <rPh sb="2" eb="3">
      <t>マワ</t>
    </rPh>
    <phoneticPr fontId="2"/>
  </si>
  <si>
    <t>入札室</t>
    <rPh sb="0" eb="2">
      <t>ニュウサツ</t>
    </rPh>
    <rPh sb="2" eb="3">
      <t>シツ</t>
    </rPh>
    <phoneticPr fontId="2"/>
  </si>
  <si>
    <t>審査指導監</t>
    <rPh sb="0" eb="2">
      <t>シンサ</t>
    </rPh>
    <rPh sb="2" eb="4">
      <t>シドウ</t>
    </rPh>
    <rPh sb="4" eb="5">
      <t>カン</t>
    </rPh>
    <phoneticPr fontId="2"/>
  </si>
  <si>
    <t>土木センター分室</t>
    <rPh sb="0" eb="2">
      <t>ドボク</t>
    </rPh>
    <rPh sb="6" eb="8">
      <t>ブンシツ</t>
    </rPh>
    <rPh sb="7" eb="8">
      <t>シツ</t>
    </rPh>
    <phoneticPr fontId="2"/>
  </si>
  <si>
    <t>土木センター</t>
    <rPh sb="0" eb="2">
      <t>ドボクブンシツ</t>
    </rPh>
    <phoneticPr fontId="2"/>
  </si>
  <si>
    <t>土木センター書庫</t>
    <rPh sb="0" eb="2">
      <t>ドボク</t>
    </rPh>
    <rPh sb="6" eb="8">
      <t>ショコ</t>
    </rPh>
    <phoneticPr fontId="2"/>
  </si>
  <si>
    <t>県民ホール</t>
    <rPh sb="0" eb="2">
      <t>ケンミン</t>
    </rPh>
    <phoneticPr fontId="2"/>
  </si>
  <si>
    <t>男女更衣室</t>
    <rPh sb="0" eb="2">
      <t>ダンジョ</t>
    </rPh>
    <rPh sb="2" eb="5">
      <t>コウイシツ</t>
    </rPh>
    <phoneticPr fontId="2"/>
  </si>
  <si>
    <t>診査室・保健所長室</t>
    <rPh sb="0" eb="2">
      <t>シンサ</t>
    </rPh>
    <rPh sb="2" eb="3">
      <t>シツ</t>
    </rPh>
    <rPh sb="4" eb="6">
      <t>ホケン</t>
    </rPh>
    <rPh sb="6" eb="8">
      <t>ショチョウ</t>
    </rPh>
    <rPh sb="8" eb="9">
      <t>シツ</t>
    </rPh>
    <phoneticPr fontId="2"/>
  </si>
  <si>
    <t>相談室</t>
    <rPh sb="0" eb="3">
      <t>ソウダンシツ</t>
    </rPh>
    <phoneticPr fontId="2"/>
  </si>
  <si>
    <t>健康相談待合室</t>
    <rPh sb="0" eb="2">
      <t>ケンコウ</t>
    </rPh>
    <rPh sb="2" eb="4">
      <t>ソウダン</t>
    </rPh>
    <rPh sb="4" eb="7">
      <t>マチアイシツ</t>
    </rPh>
    <phoneticPr fontId="2"/>
  </si>
  <si>
    <t>健康相談室</t>
    <rPh sb="0" eb="2">
      <t>ケンコウ</t>
    </rPh>
    <rPh sb="2" eb="5">
      <t>ソウダンシツ</t>
    </rPh>
    <phoneticPr fontId="2"/>
  </si>
  <si>
    <t>作業室</t>
    <rPh sb="0" eb="2">
      <t>サギョウ</t>
    </rPh>
    <rPh sb="2" eb="3">
      <t>シツ</t>
    </rPh>
    <phoneticPr fontId="2"/>
  </si>
  <si>
    <t>清掃対象面積（㎡）</t>
    <rPh sb="0" eb="2">
      <t>セイソウ</t>
    </rPh>
    <rPh sb="2" eb="4">
      <t>タイショウ</t>
    </rPh>
    <rPh sb="4" eb="6">
      <t>メンセキ</t>
    </rPh>
    <phoneticPr fontId="2"/>
  </si>
  <si>
    <t>ﾜｯｸｽ対象面積（㎡）</t>
    <rPh sb="4" eb="6">
      <t>タイショウ</t>
    </rPh>
    <rPh sb="6" eb="8">
      <t>メンセキ</t>
    </rPh>
    <phoneticPr fontId="2"/>
  </si>
  <si>
    <t>うち剥離洗浄面積（㎡）</t>
    <rPh sb="2" eb="4">
      <t>ハクリ</t>
    </rPh>
    <rPh sb="4" eb="6">
      <t>センジョウ</t>
    </rPh>
    <rPh sb="6" eb="8">
      <t>メンセキ</t>
    </rPh>
    <phoneticPr fontId="2"/>
  </si>
  <si>
    <t>窓ガラス（片面）（㎡）</t>
    <rPh sb="0" eb="1">
      <t>マド</t>
    </rPh>
    <rPh sb="5" eb="6">
      <t>カタ</t>
    </rPh>
    <rPh sb="6" eb="7">
      <t>メン</t>
    </rPh>
    <phoneticPr fontId="2"/>
  </si>
  <si>
    <t>ブラインド（㎡）</t>
    <phoneticPr fontId="2"/>
  </si>
  <si>
    <t>照明器具（基）</t>
    <rPh sb="0" eb="2">
      <t>ショウメイ</t>
    </rPh>
    <rPh sb="2" eb="4">
      <t>キグ</t>
    </rPh>
    <rPh sb="5" eb="6">
      <t>キ</t>
    </rPh>
    <phoneticPr fontId="2"/>
  </si>
  <si>
    <t>土木センター事務室（1回）</t>
    <rPh sb="0" eb="2">
      <t>ドボク</t>
    </rPh>
    <rPh sb="6" eb="9">
      <t>ジムシツ</t>
    </rPh>
    <rPh sb="11" eb="12">
      <t>カイ</t>
    </rPh>
    <phoneticPr fontId="2"/>
  </si>
  <si>
    <t>土木部書庫</t>
    <rPh sb="0" eb="2">
      <t>ドボク</t>
    </rPh>
    <rPh sb="2" eb="3">
      <t>ブ</t>
    </rPh>
    <rPh sb="3" eb="5">
      <t>ショコ</t>
    </rPh>
    <phoneticPr fontId="2"/>
  </si>
  <si>
    <t>ごみ集積所</t>
    <rPh sb="2" eb="4">
      <t>シュウセキ</t>
    </rPh>
    <rPh sb="4" eb="5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</si>
</sst>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0;[Red]\-#,##0.000"/>
    <numFmt numFmtId="177" formatCode="#,##0.00_ ;[Red]\-#,##0.00\ "/>
    <numFmt numFmtId="178" formatCode="#,##0.00_);[Red]\(#,##0.00\)"/>
    <numFmt numFmtId="179" formatCode="#,##0.000_ ;[Red]\-#,##0.000\ "/>
    <numFmt numFmtId="180" formatCode="#,##0.00000_ ;[Red]\-#,##0.00000\ "/>
    <numFmt numFmtId="181" formatCode="#,##0.0000;[Red]\-#,##0.0000"/>
    <numFmt numFmtId="182" formatCode="#,##0.00;[Red]#,##0.00"/>
    <numFmt numFmtId="183" formatCode="#,##0;[Red]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標準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" fontId="3" fillId="0" borderId="0">
      <alignment vertical="center"/>
    </xf>
    <xf numFmtId="38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1" xfId="0" applyBorder="1"/>
    <xf numFmtId="178" fontId="0" fillId="0" borderId="0" xfId="0" applyNumberFormat="1"/>
    <xf numFmtId="178" fontId="1" fillId="0" borderId="0" xfId="2" applyNumberFormat="1"/>
    <xf numFmtId="40" fontId="0" fillId="0" borderId="0" xfId="2" applyNumberFormat="1" applyFont="1"/>
    <xf numFmtId="0" fontId="0" fillId="0" borderId="0" xfId="0" applyBorder="1"/>
    <xf numFmtId="0" fontId="5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4" xfId="0" applyFont="1" applyBorder="1"/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16" xfId="0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11" xfId="0" applyFont="1" applyBorder="1"/>
    <xf numFmtId="0" fontId="0" fillId="0" borderId="0" xfId="0" applyAlignment="1">
      <alignment horizontal="right"/>
    </xf>
    <xf numFmtId="0" fontId="0" fillId="2" borderId="16" xfId="0" applyFill="1" applyBorder="1"/>
    <xf numFmtId="177" fontId="0" fillId="0" borderId="1" xfId="0" applyNumberFormat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/>
    <xf numFmtId="0" fontId="0" fillId="3" borderId="20" xfId="0" applyFill="1" applyBorder="1"/>
    <xf numFmtId="0" fontId="0" fillId="3" borderId="21" xfId="0" applyFill="1" applyBorder="1" applyAlignment="1">
      <alignment horizontal="right"/>
    </xf>
    <xf numFmtId="0" fontId="0" fillId="3" borderId="21" xfId="0" applyFill="1" applyBorder="1" applyAlignment="1">
      <alignment horizontal="right" shrinkToFit="1"/>
    </xf>
    <xf numFmtId="0" fontId="0" fillId="3" borderId="22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14" xfId="0" applyFill="1" applyBorder="1"/>
    <xf numFmtId="0" fontId="0" fillId="0" borderId="23" xfId="0" applyFill="1" applyBorder="1"/>
    <xf numFmtId="0" fontId="0" fillId="0" borderId="24" xfId="0" applyFill="1" applyBorder="1"/>
    <xf numFmtId="0" fontId="4" fillId="0" borderId="12" xfId="0" applyFont="1" applyBorder="1"/>
    <xf numFmtId="0" fontId="1" fillId="0" borderId="23" xfId="0" applyFont="1" applyBorder="1"/>
    <xf numFmtId="0" fontId="1" fillId="0" borderId="15" xfId="0" applyFont="1" applyBorder="1"/>
    <xf numFmtId="0" fontId="0" fillId="2" borderId="26" xfId="0" applyFill="1" applyBorder="1"/>
    <xf numFmtId="0" fontId="0" fillId="0" borderId="8" xfId="0" applyFill="1" applyBorder="1"/>
    <xf numFmtId="0" fontId="7" fillId="3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0" fillId="0" borderId="27" xfId="0" applyFill="1" applyBorder="1"/>
    <xf numFmtId="0" fontId="0" fillId="0" borderId="29" xfId="0" applyBorder="1"/>
    <xf numFmtId="0" fontId="0" fillId="0" borderId="14" xfId="0" applyNumberFormat="1" applyFill="1" applyBorder="1"/>
    <xf numFmtId="0" fontId="0" fillId="0" borderId="24" xfId="0" applyNumberFormat="1" applyFill="1" applyBorder="1"/>
    <xf numFmtId="0" fontId="0" fillId="0" borderId="30" xfId="0" applyNumberFormat="1" applyFill="1" applyBorder="1"/>
    <xf numFmtId="40" fontId="1" fillId="0" borderId="0" xfId="2" applyNumberFormat="1"/>
    <xf numFmtId="176" fontId="1" fillId="0" borderId="1" xfId="2" applyNumberForma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shrinkToFit="1"/>
    </xf>
    <xf numFmtId="0" fontId="6" fillId="0" borderId="0" xfId="0" applyFont="1" applyBorder="1"/>
    <xf numFmtId="40" fontId="6" fillId="0" borderId="0" xfId="2" applyNumberFormat="1" applyFont="1" applyBorder="1"/>
    <xf numFmtId="0" fontId="0" fillId="0" borderId="0" xfId="0" applyNumberFormat="1"/>
    <xf numFmtId="182" fontId="0" fillId="0" borderId="0" xfId="0" applyNumberFormat="1"/>
    <xf numFmtId="183" fontId="0" fillId="0" borderId="0" xfId="0" applyNumberFormat="1"/>
    <xf numFmtId="0" fontId="0" fillId="0" borderId="0" xfId="0" applyAlignment="1">
      <alignment horizontal="left"/>
    </xf>
    <xf numFmtId="0" fontId="9" fillId="0" borderId="16" xfId="0" applyFont="1" applyFill="1" applyBorder="1"/>
    <xf numFmtId="0" fontId="9" fillId="0" borderId="23" xfId="0" applyFont="1" applyFill="1" applyBorder="1"/>
    <xf numFmtId="0" fontId="9" fillId="0" borderId="32" xfId="0" applyFont="1" applyFill="1" applyBorder="1"/>
    <xf numFmtId="0" fontId="9" fillId="0" borderId="1" xfId="0" applyFont="1" applyFill="1" applyBorder="1"/>
    <xf numFmtId="0" fontId="9" fillId="0" borderId="14" xfId="0" applyFont="1" applyFill="1" applyBorder="1"/>
    <xf numFmtId="40" fontId="9" fillId="0" borderId="14" xfId="0" applyNumberFormat="1" applyFont="1" applyFill="1" applyBorder="1"/>
    <xf numFmtId="0" fontId="9" fillId="0" borderId="27" xfId="0" applyFont="1" applyFill="1" applyBorder="1"/>
    <xf numFmtId="0" fontId="9" fillId="0" borderId="30" xfId="0" applyFont="1" applyFill="1" applyBorder="1"/>
    <xf numFmtId="0" fontId="9" fillId="0" borderId="35" xfId="0" applyFont="1" applyFill="1" applyBorder="1"/>
    <xf numFmtId="0" fontId="9" fillId="0" borderId="24" xfId="0" applyFont="1" applyFill="1" applyBorder="1"/>
    <xf numFmtId="179" fontId="9" fillId="0" borderId="14" xfId="0" applyNumberFormat="1" applyFont="1" applyFill="1" applyBorder="1"/>
    <xf numFmtId="0" fontId="9" fillId="0" borderId="14" xfId="0" applyNumberFormat="1" applyFont="1" applyFill="1" applyBorder="1"/>
    <xf numFmtId="0" fontId="9" fillId="0" borderId="24" xfId="0" applyNumberFormat="1" applyFont="1" applyFill="1" applyBorder="1"/>
    <xf numFmtId="0" fontId="9" fillId="0" borderId="0" xfId="0" applyFont="1" applyFill="1" applyBorder="1"/>
    <xf numFmtId="179" fontId="9" fillId="0" borderId="30" xfId="0" applyNumberFormat="1" applyFont="1" applyFill="1" applyBorder="1"/>
    <xf numFmtId="0" fontId="9" fillId="0" borderId="30" xfId="0" applyNumberFormat="1" applyFont="1" applyFill="1" applyBorder="1"/>
    <xf numFmtId="0" fontId="9" fillId="0" borderId="2" xfId="0" applyFont="1" applyFill="1" applyBorder="1"/>
    <xf numFmtId="179" fontId="9" fillId="0" borderId="24" xfId="0" applyNumberFormat="1" applyFont="1" applyFill="1" applyBorder="1"/>
    <xf numFmtId="40" fontId="9" fillId="0" borderId="24" xfId="0" applyNumberFormat="1" applyFont="1" applyFill="1" applyBorder="1"/>
    <xf numFmtId="181" fontId="9" fillId="0" borderId="14" xfId="0" applyNumberFormat="1" applyFont="1" applyFill="1" applyBorder="1"/>
    <xf numFmtId="0" fontId="9" fillId="0" borderId="36" xfId="0" applyFont="1" applyFill="1" applyBorder="1"/>
    <xf numFmtId="0" fontId="9" fillId="0" borderId="23" xfId="0" applyNumberFormat="1" applyFont="1" applyFill="1" applyBorder="1"/>
    <xf numFmtId="0" fontId="0" fillId="0" borderId="6" xfId="0" applyFill="1" applyBorder="1"/>
    <xf numFmtId="0" fontId="0" fillId="0" borderId="16" xfId="0" applyFont="1" applyBorder="1"/>
    <xf numFmtId="40" fontId="0" fillId="0" borderId="16" xfId="2" applyNumberFormat="1" applyFont="1" applyBorder="1"/>
    <xf numFmtId="0" fontId="0" fillId="0" borderId="10" xfId="0" applyFont="1" applyBorder="1"/>
    <xf numFmtId="40" fontId="0" fillId="0" borderId="10" xfId="2" applyNumberFormat="1" applyFont="1" applyBorder="1"/>
    <xf numFmtId="0" fontId="10" fillId="0" borderId="0" xfId="0" applyFont="1"/>
    <xf numFmtId="0" fontId="0" fillId="0" borderId="14" xfId="0" applyFont="1" applyFill="1" applyBorder="1"/>
    <xf numFmtId="0" fontId="0" fillId="0" borderId="28" xfId="0" applyFill="1" applyBorder="1"/>
    <xf numFmtId="0" fontId="0" fillId="0" borderId="25" xfId="0" applyFill="1" applyBorder="1"/>
    <xf numFmtId="0" fontId="9" fillId="0" borderId="10" xfId="0" applyFont="1" applyFill="1" applyBorder="1"/>
    <xf numFmtId="0" fontId="9" fillId="0" borderId="15" xfId="0" applyFont="1" applyFill="1" applyBorder="1"/>
    <xf numFmtId="0" fontId="9" fillId="0" borderId="10" xfId="0" applyNumberFormat="1" applyFont="1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10" xfId="0" applyFill="1" applyBorder="1"/>
    <xf numFmtId="0" fontId="2" fillId="0" borderId="8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1" fillId="0" borderId="14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179" fontId="0" fillId="0" borderId="1" xfId="0" applyNumberFormat="1" applyBorder="1"/>
    <xf numFmtId="0" fontId="0" fillId="0" borderId="1" xfId="0" applyFont="1" applyFill="1" applyBorder="1"/>
    <xf numFmtId="0" fontId="0" fillId="0" borderId="8" xfId="0" applyFont="1" applyFill="1" applyBorder="1"/>
    <xf numFmtId="0" fontId="0" fillId="0" borderId="0" xfId="0" applyAlignment="1">
      <alignment shrinkToFit="1"/>
    </xf>
    <xf numFmtId="0" fontId="0" fillId="0" borderId="4" xfId="0" applyBorder="1" applyAlignment="1">
      <alignment horizontal="center" shrinkToFit="1"/>
    </xf>
    <xf numFmtId="0" fontId="9" fillId="0" borderId="31" xfId="0" applyFont="1" applyFill="1" applyBorder="1" applyAlignment="1">
      <alignment shrinkToFit="1"/>
    </xf>
    <xf numFmtId="0" fontId="9" fillId="0" borderId="32" xfId="0" applyFont="1" applyFill="1" applyBorder="1" applyAlignment="1">
      <alignment shrinkToFit="1"/>
    </xf>
    <xf numFmtId="0" fontId="0" fillId="0" borderId="32" xfId="0" applyFont="1" applyFill="1" applyBorder="1" applyAlignment="1">
      <alignment shrinkToFit="1"/>
    </xf>
    <xf numFmtId="0" fontId="9" fillId="0" borderId="33" xfId="0" applyFont="1" applyFill="1" applyBorder="1" applyAlignment="1">
      <alignment shrinkToFit="1"/>
    </xf>
    <xf numFmtId="0" fontId="9" fillId="0" borderId="34" xfId="0" applyFont="1" applyFill="1" applyBorder="1" applyAlignment="1">
      <alignment shrinkToFit="1"/>
    </xf>
    <xf numFmtId="0" fontId="9" fillId="0" borderId="10" xfId="0" applyFont="1" applyFill="1" applyBorder="1" applyAlignment="1">
      <alignment horizontal="right" shrinkToFit="1"/>
    </xf>
    <xf numFmtId="0" fontId="9" fillId="0" borderId="1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9" fillId="0" borderId="2" xfId="0" applyFont="1" applyFill="1" applyBorder="1" applyAlignment="1">
      <alignment shrinkToFit="1"/>
    </xf>
    <xf numFmtId="0" fontId="9" fillId="0" borderId="16" xfId="0" applyFont="1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0" borderId="1" xfId="0" applyFill="1" applyBorder="1" applyAlignment="1">
      <alignment horizontal="right" shrinkToFit="1"/>
    </xf>
    <xf numFmtId="0" fontId="0" fillId="0" borderId="4" xfId="0" applyBorder="1" applyAlignment="1">
      <alignment horizontal="right" shrinkToFit="1"/>
    </xf>
    <xf numFmtId="0" fontId="0" fillId="0" borderId="16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0" fillId="0" borderId="14" xfId="0" applyNumberFormat="1" applyFont="1" applyFill="1" applyBorder="1"/>
    <xf numFmtId="0" fontId="0" fillId="0" borderId="8" xfId="0" applyFont="1" applyFill="1" applyBorder="1" applyAlignment="1"/>
    <xf numFmtId="0" fontId="0" fillId="0" borderId="0" xfId="0" applyFont="1" applyFill="1" applyBorder="1"/>
    <xf numFmtId="179" fontId="0" fillId="0" borderId="14" xfId="0" applyNumberFormat="1" applyFont="1" applyFill="1" applyBorder="1"/>
    <xf numFmtId="0" fontId="0" fillId="0" borderId="8" xfId="0" applyFont="1" applyFill="1" applyBorder="1" applyAlignment="1">
      <alignment wrapText="1"/>
    </xf>
    <xf numFmtId="0" fontId="0" fillId="0" borderId="1" xfId="0" applyFont="1" applyFill="1" applyBorder="1" applyAlignment="1">
      <alignment shrinkToFit="1"/>
    </xf>
    <xf numFmtId="180" fontId="0" fillId="0" borderId="14" xfId="0" applyNumberFormat="1" applyFont="1" applyFill="1" applyBorder="1"/>
    <xf numFmtId="40" fontId="0" fillId="0" borderId="14" xfId="0" applyNumberFormat="1" applyFont="1" applyFill="1" applyBorder="1"/>
    <xf numFmtId="0" fontId="0" fillId="0" borderId="35" xfId="0" applyBorder="1"/>
    <xf numFmtId="0" fontId="0" fillId="0" borderId="25" xfId="0" applyBorder="1"/>
    <xf numFmtId="0" fontId="0" fillId="2" borderId="37" xfId="0" applyFill="1" applyBorder="1"/>
    <xf numFmtId="0" fontId="0" fillId="2" borderId="16" xfId="0" applyFill="1" applyBorder="1" applyAlignment="1">
      <alignment shrinkToFit="1"/>
    </xf>
    <xf numFmtId="0" fontId="0" fillId="4" borderId="16" xfId="0" applyFill="1" applyBorder="1" applyAlignment="1">
      <alignment shrinkToFit="1"/>
    </xf>
    <xf numFmtId="0" fontId="7" fillId="3" borderId="23" xfId="0" applyFont="1" applyFill="1" applyBorder="1" applyAlignment="1">
      <alignment shrinkToFit="1"/>
    </xf>
    <xf numFmtId="0" fontId="7" fillId="2" borderId="23" xfId="0" applyFont="1" applyFill="1" applyBorder="1" applyAlignment="1">
      <alignment horizontal="center" shrinkToFit="1"/>
    </xf>
    <xf numFmtId="0" fontId="7" fillId="5" borderId="23" xfId="0" applyFont="1" applyFill="1" applyBorder="1" applyAlignment="1">
      <alignment horizontal="center" shrinkToFit="1"/>
    </xf>
    <xf numFmtId="0" fontId="7" fillId="3" borderId="6" xfId="0" applyFont="1" applyFill="1" applyBorder="1" applyAlignment="1">
      <alignment horizontal="center" shrinkToFit="1"/>
    </xf>
    <xf numFmtId="0" fontId="12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AKA" xfId="1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tabSelected="1" view="pageBreakPreview" zoomScaleNormal="100" workbookViewId="0">
      <selection activeCell="H28" sqref="H28"/>
    </sheetView>
  </sheetViews>
  <sheetFormatPr defaultRowHeight="13.2" x14ac:dyDescent="0.2"/>
  <cols>
    <col min="1" max="1" width="0.6640625" customWidth="1"/>
    <col min="2" max="2" width="8" customWidth="1"/>
    <col min="3" max="3" width="18.109375" customWidth="1"/>
    <col min="4" max="4" width="13.6640625" customWidth="1"/>
    <col min="5" max="6" width="9" hidden="1" customWidth="1"/>
    <col min="7" max="9" width="12.6640625" customWidth="1"/>
    <col min="10" max="10" width="8" bestFit="1" customWidth="1"/>
  </cols>
  <sheetData>
    <row r="1" spans="2:8" ht="19.2" x14ac:dyDescent="0.25">
      <c r="C1" s="147" t="s">
        <v>141</v>
      </c>
      <c r="D1" s="148"/>
      <c r="E1" s="148"/>
      <c r="F1" s="148"/>
      <c r="G1" s="148"/>
      <c r="H1" s="148"/>
    </row>
    <row r="3" spans="2:8" x14ac:dyDescent="0.2">
      <c r="B3" t="s">
        <v>60</v>
      </c>
    </row>
    <row r="4" spans="2:8" x14ac:dyDescent="0.2">
      <c r="C4" t="s">
        <v>121</v>
      </c>
      <c r="G4">
        <f>100.27+80.21+456.08+3424.39</f>
        <v>4060.95</v>
      </c>
      <c r="H4" t="s">
        <v>119</v>
      </c>
    </row>
    <row r="5" spans="2:8" x14ac:dyDescent="0.2">
      <c r="C5" t="s">
        <v>61</v>
      </c>
      <c r="D5" t="s">
        <v>62</v>
      </c>
      <c r="G5">
        <v>1483.59</v>
      </c>
      <c r="H5" t="s">
        <v>116</v>
      </c>
    </row>
    <row r="7" spans="2:8" x14ac:dyDescent="0.2">
      <c r="C7" t="s">
        <v>69</v>
      </c>
      <c r="D7" t="s">
        <v>63</v>
      </c>
      <c r="G7" s="53">
        <v>1448.69</v>
      </c>
      <c r="H7" t="s">
        <v>117</v>
      </c>
    </row>
    <row r="8" spans="2:8" x14ac:dyDescent="0.2">
      <c r="D8" t="s">
        <v>64</v>
      </c>
      <c r="G8" s="53">
        <v>1494.84</v>
      </c>
      <c r="H8" t="s">
        <v>117</v>
      </c>
    </row>
    <row r="9" spans="2:8" x14ac:dyDescent="0.2">
      <c r="D9" t="s">
        <v>65</v>
      </c>
      <c r="G9" s="53">
        <v>822.97</v>
      </c>
      <c r="H9" t="s">
        <v>117</v>
      </c>
    </row>
    <row r="10" spans="2:8" x14ac:dyDescent="0.2">
      <c r="D10" t="s">
        <v>66</v>
      </c>
      <c r="G10" s="53">
        <f>SUM(G7:G9)</f>
        <v>3766.5</v>
      </c>
      <c r="H10" t="s">
        <v>117</v>
      </c>
    </row>
    <row r="11" spans="2:8" x14ac:dyDescent="0.2">
      <c r="C11" t="s">
        <v>67</v>
      </c>
      <c r="G11" s="53"/>
    </row>
    <row r="12" spans="2:8" x14ac:dyDescent="0.2">
      <c r="C12" s="62" t="s">
        <v>68</v>
      </c>
      <c r="D12" t="s">
        <v>62</v>
      </c>
      <c r="G12" s="53">
        <v>172.94</v>
      </c>
      <c r="H12" t="s">
        <v>116</v>
      </c>
    </row>
    <row r="13" spans="2:8" x14ac:dyDescent="0.2">
      <c r="D13" t="s">
        <v>69</v>
      </c>
      <c r="G13" s="53">
        <v>345.88</v>
      </c>
      <c r="H13" t="s">
        <v>118</v>
      </c>
    </row>
    <row r="14" spans="2:8" x14ac:dyDescent="0.2">
      <c r="C14" s="62" t="s">
        <v>171</v>
      </c>
      <c r="D14" t="s">
        <v>62</v>
      </c>
      <c r="G14" s="53">
        <v>19.440000000000001</v>
      </c>
      <c r="H14" t="s">
        <v>116</v>
      </c>
    </row>
    <row r="15" spans="2:8" x14ac:dyDescent="0.2">
      <c r="D15" t="s">
        <v>69</v>
      </c>
      <c r="G15" s="53">
        <v>38.880000000000003</v>
      </c>
      <c r="H15" t="s">
        <v>118</v>
      </c>
    </row>
    <row r="16" spans="2:8" x14ac:dyDescent="0.2">
      <c r="C16" s="62" t="s">
        <v>70</v>
      </c>
      <c r="D16" t="s">
        <v>62</v>
      </c>
      <c r="G16" s="53">
        <f>G5+G12+G14</f>
        <v>1675.97</v>
      </c>
      <c r="H16" t="s">
        <v>116</v>
      </c>
    </row>
    <row r="17" spans="2:9" x14ac:dyDescent="0.2">
      <c r="D17" t="s">
        <v>69</v>
      </c>
      <c r="G17" s="53">
        <f>G10+G13+G15</f>
        <v>4151.26</v>
      </c>
      <c r="H17" t="s">
        <v>118</v>
      </c>
    </row>
    <row r="18" spans="2:9" x14ac:dyDescent="0.2">
      <c r="C18" t="s">
        <v>149</v>
      </c>
      <c r="G18" s="53">
        <v>250</v>
      </c>
      <c r="H18" t="s">
        <v>150</v>
      </c>
    </row>
    <row r="19" spans="2:9" x14ac:dyDescent="0.2">
      <c r="B19" t="s">
        <v>130</v>
      </c>
    </row>
    <row r="20" spans="2:9" x14ac:dyDescent="0.2">
      <c r="B20" t="s">
        <v>132</v>
      </c>
    </row>
    <row r="21" spans="2:9" x14ac:dyDescent="0.2">
      <c r="C21" s="55" t="s">
        <v>2</v>
      </c>
      <c r="G21">
        <v>49.45</v>
      </c>
      <c r="H21" t="s">
        <v>119</v>
      </c>
    </row>
    <row r="22" spans="2:9" x14ac:dyDescent="0.2">
      <c r="C22" s="55" t="s">
        <v>115</v>
      </c>
      <c r="G22" s="4">
        <v>1835.48</v>
      </c>
      <c r="H22" t="s">
        <v>119</v>
      </c>
    </row>
    <row r="23" spans="2:9" x14ac:dyDescent="0.2">
      <c r="C23" s="55" t="s">
        <v>3</v>
      </c>
      <c r="G23" s="4">
        <v>358.76</v>
      </c>
      <c r="H23" t="s">
        <v>119</v>
      </c>
    </row>
    <row r="24" spans="2:9" x14ac:dyDescent="0.2">
      <c r="C24" s="56" t="s">
        <v>98</v>
      </c>
      <c r="G24">
        <v>31.93</v>
      </c>
      <c r="H24" t="s">
        <v>119</v>
      </c>
      <c r="I24" s="60"/>
    </row>
    <row r="25" spans="2:9" x14ac:dyDescent="0.2">
      <c r="C25" s="55" t="s">
        <v>4</v>
      </c>
      <c r="G25">
        <v>339.12</v>
      </c>
      <c r="H25" t="s">
        <v>119</v>
      </c>
    </row>
    <row r="26" spans="2:9" x14ac:dyDescent="0.2">
      <c r="C26" s="55" t="s">
        <v>5</v>
      </c>
      <c r="G26">
        <v>107.68</v>
      </c>
      <c r="H26" t="s">
        <v>119</v>
      </c>
    </row>
    <row r="27" spans="2:9" x14ac:dyDescent="0.2">
      <c r="C27" s="55" t="s">
        <v>7</v>
      </c>
      <c r="G27">
        <v>24.61</v>
      </c>
      <c r="H27" t="s">
        <v>119</v>
      </c>
    </row>
    <row r="28" spans="2:9" x14ac:dyDescent="0.2">
      <c r="C28" s="55" t="s">
        <v>15</v>
      </c>
      <c r="G28">
        <v>97.96</v>
      </c>
      <c r="H28" t="s">
        <v>119</v>
      </c>
    </row>
    <row r="29" spans="2:9" x14ac:dyDescent="0.2">
      <c r="C29" s="55" t="s">
        <v>55</v>
      </c>
      <c r="G29">
        <v>7.03</v>
      </c>
      <c r="H29" t="s">
        <v>119</v>
      </c>
      <c r="I29" s="61"/>
    </row>
    <row r="30" spans="2:9" x14ac:dyDescent="0.2">
      <c r="C30" s="55" t="s">
        <v>172</v>
      </c>
      <c r="G30" s="59">
        <v>4.3</v>
      </c>
      <c r="H30" t="s">
        <v>119</v>
      </c>
      <c r="I30" s="61"/>
    </row>
    <row r="31" spans="2:9" x14ac:dyDescent="0.2">
      <c r="C31" s="55" t="s">
        <v>16</v>
      </c>
      <c r="G31">
        <v>406.96</v>
      </c>
      <c r="H31" t="s">
        <v>119</v>
      </c>
      <c r="I31" s="61"/>
    </row>
    <row r="32" spans="2:9" x14ac:dyDescent="0.2">
      <c r="C32" t="s">
        <v>129</v>
      </c>
      <c r="G32">
        <v>73.150000000000006</v>
      </c>
      <c r="H32" t="s">
        <v>119</v>
      </c>
      <c r="I32" s="61"/>
    </row>
    <row r="33" spans="2:9" x14ac:dyDescent="0.2">
      <c r="B33" t="s">
        <v>134</v>
      </c>
      <c r="I33" s="61"/>
    </row>
    <row r="34" spans="2:9" x14ac:dyDescent="0.2">
      <c r="C34" s="55" t="s">
        <v>115</v>
      </c>
      <c r="G34" s="60">
        <v>1814.96</v>
      </c>
      <c r="H34" t="s">
        <v>119</v>
      </c>
      <c r="I34" s="61"/>
    </row>
    <row r="35" spans="2:9" x14ac:dyDescent="0.2">
      <c r="C35" s="55" t="s">
        <v>3</v>
      </c>
      <c r="G35" s="60">
        <v>325.24</v>
      </c>
      <c r="H35" t="s">
        <v>119</v>
      </c>
      <c r="I35" s="61"/>
    </row>
    <row r="36" spans="2:9" x14ac:dyDescent="0.2">
      <c r="C36" s="55" t="s">
        <v>4</v>
      </c>
      <c r="G36" s="60">
        <v>339.12</v>
      </c>
      <c r="H36" t="s">
        <v>119</v>
      </c>
      <c r="I36" s="61"/>
    </row>
    <row r="37" spans="2:9" x14ac:dyDescent="0.2">
      <c r="C37" s="55" t="s">
        <v>5</v>
      </c>
      <c r="G37" s="60">
        <v>107.68</v>
      </c>
      <c r="H37" t="s">
        <v>119</v>
      </c>
      <c r="I37" s="61"/>
    </row>
    <row r="38" spans="2:9" x14ac:dyDescent="0.2">
      <c r="C38" s="55" t="s">
        <v>7</v>
      </c>
      <c r="G38" s="60">
        <v>24.61</v>
      </c>
      <c r="H38" t="s">
        <v>119</v>
      </c>
      <c r="I38" s="61"/>
    </row>
    <row r="39" spans="2:9" x14ac:dyDescent="0.2">
      <c r="C39" s="55" t="s">
        <v>15</v>
      </c>
      <c r="G39" s="60">
        <v>97.96</v>
      </c>
      <c r="H39" t="s">
        <v>119</v>
      </c>
      <c r="I39" s="61"/>
    </row>
    <row r="40" spans="2:9" x14ac:dyDescent="0.2">
      <c r="B40" t="s">
        <v>133</v>
      </c>
    </row>
    <row r="41" spans="2:9" x14ac:dyDescent="0.2">
      <c r="C41" s="55" t="s">
        <v>170</v>
      </c>
      <c r="G41" s="60">
        <v>332.55</v>
      </c>
      <c r="H41" t="s">
        <v>135</v>
      </c>
      <c r="I41" s="61"/>
    </row>
    <row r="42" spans="2:9" x14ac:dyDescent="0.2">
      <c r="B42" t="s">
        <v>136</v>
      </c>
    </row>
    <row r="43" spans="2:9" x14ac:dyDescent="0.2">
      <c r="C43" s="55" t="s">
        <v>151</v>
      </c>
      <c r="G43" s="60">
        <v>42</v>
      </c>
      <c r="H43" t="s">
        <v>10</v>
      </c>
    </row>
    <row r="44" spans="2:9" x14ac:dyDescent="0.2">
      <c r="C44" t="s">
        <v>83</v>
      </c>
      <c r="G44" s="53">
        <v>2999.7</v>
      </c>
      <c r="H44" t="s">
        <v>119</v>
      </c>
    </row>
    <row r="45" spans="2:9" x14ac:dyDescent="0.2">
      <c r="B45" t="s">
        <v>137</v>
      </c>
    </row>
    <row r="46" spans="2:9" x14ac:dyDescent="0.2">
      <c r="B46" t="s">
        <v>120</v>
      </c>
      <c r="C46" t="s">
        <v>85</v>
      </c>
      <c r="G46">
        <v>19</v>
      </c>
      <c r="H46" t="s">
        <v>86</v>
      </c>
    </row>
    <row r="47" spans="2:9" x14ac:dyDescent="0.2">
      <c r="C47" t="s">
        <v>87</v>
      </c>
      <c r="G47">
        <v>11</v>
      </c>
      <c r="H47" t="s">
        <v>86</v>
      </c>
    </row>
    <row r="48" spans="2:9" x14ac:dyDescent="0.2">
      <c r="C48" t="s">
        <v>88</v>
      </c>
      <c r="G48">
        <v>27</v>
      </c>
      <c r="H48" t="s">
        <v>89</v>
      </c>
    </row>
    <row r="49" spans="2:8" x14ac:dyDescent="0.2">
      <c r="C49" t="s">
        <v>90</v>
      </c>
      <c r="G49">
        <v>22</v>
      </c>
      <c r="H49" t="s">
        <v>86</v>
      </c>
    </row>
    <row r="50" spans="2:8" x14ac:dyDescent="0.2">
      <c r="C50" t="s">
        <v>91</v>
      </c>
      <c r="G50">
        <v>21</v>
      </c>
      <c r="H50" t="s">
        <v>92</v>
      </c>
    </row>
    <row r="51" spans="2:8" x14ac:dyDescent="0.2">
      <c r="C51" t="s">
        <v>93</v>
      </c>
      <c r="G51">
        <v>2</v>
      </c>
      <c r="H51" t="s">
        <v>94</v>
      </c>
    </row>
    <row r="52" spans="2:8" x14ac:dyDescent="0.2">
      <c r="B52" t="s">
        <v>138</v>
      </c>
    </row>
    <row r="53" spans="2:8" x14ac:dyDescent="0.2">
      <c r="C53" t="s">
        <v>95</v>
      </c>
      <c r="G53">
        <v>1</v>
      </c>
      <c r="H53" t="s">
        <v>89</v>
      </c>
    </row>
    <row r="54" spans="2:8" x14ac:dyDescent="0.2">
      <c r="C54" t="s">
        <v>96</v>
      </c>
      <c r="G54">
        <v>4</v>
      </c>
      <c r="H54" t="s">
        <v>89</v>
      </c>
    </row>
    <row r="55" spans="2:8" x14ac:dyDescent="0.2">
      <c r="C55" t="s">
        <v>97</v>
      </c>
      <c r="G55">
        <v>3</v>
      </c>
      <c r="H55" t="s">
        <v>89</v>
      </c>
    </row>
    <row r="56" spans="2:8" x14ac:dyDescent="0.2">
      <c r="B56" t="s">
        <v>139</v>
      </c>
      <c r="D56" t="s">
        <v>131</v>
      </c>
      <c r="G56">
        <v>570.25</v>
      </c>
      <c r="H56" t="s">
        <v>10</v>
      </c>
    </row>
    <row r="57" spans="2:8" x14ac:dyDescent="0.2">
      <c r="B57" t="s">
        <v>140</v>
      </c>
      <c r="D57" t="s">
        <v>131</v>
      </c>
      <c r="G57">
        <v>439.3</v>
      </c>
      <c r="H57" t="s">
        <v>10</v>
      </c>
    </row>
    <row r="58" spans="2:8" x14ac:dyDescent="0.2">
      <c r="B58" t="s">
        <v>145</v>
      </c>
    </row>
    <row r="59" spans="2:8" x14ac:dyDescent="0.2">
      <c r="C59" t="s">
        <v>147</v>
      </c>
      <c r="G59">
        <v>397</v>
      </c>
      <c r="H59" t="s">
        <v>11</v>
      </c>
    </row>
    <row r="60" spans="2:8" x14ac:dyDescent="0.2">
      <c r="C60" t="s">
        <v>148</v>
      </c>
      <c r="G60">
        <v>16</v>
      </c>
      <c r="H60" t="s">
        <v>11</v>
      </c>
    </row>
    <row r="61" spans="2:8" x14ac:dyDescent="0.2">
      <c r="B61" t="s">
        <v>146</v>
      </c>
      <c r="G61">
        <v>68.040000000000006</v>
      </c>
      <c r="H61" t="s">
        <v>135</v>
      </c>
    </row>
  </sheetData>
  <mergeCells count="1">
    <mergeCell ref="C1:H1"/>
  </mergeCells>
  <phoneticPr fontId="2"/>
  <pageMargins left="0.78740157480314965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117"/>
  <sheetViews>
    <sheetView view="pageBreakPreview" topLeftCell="A79" zoomScaleNormal="100" zoomScaleSheetLayoutView="100" workbookViewId="0">
      <selection activeCell="B19" sqref="B19"/>
    </sheetView>
  </sheetViews>
  <sheetFormatPr defaultRowHeight="13.2" x14ac:dyDescent="0.2"/>
  <cols>
    <col min="1" max="1" width="0.6640625" customWidth="1"/>
    <col min="3" max="3" width="17.21875" style="110" bestFit="1" customWidth="1"/>
    <col min="4" max="4" width="13.6640625" customWidth="1"/>
    <col min="5" max="6" width="9" hidden="1" customWidth="1"/>
    <col min="7" max="9" width="12.6640625" customWidth="1"/>
    <col min="10" max="10" width="8.33203125" bestFit="1" customWidth="1"/>
    <col min="11" max="11" width="12.6640625" customWidth="1"/>
    <col min="12" max="12" width="7.88671875" bestFit="1" customWidth="1"/>
    <col min="13" max="13" width="15.6640625" customWidth="1"/>
    <col min="14" max="14" width="0.6640625" customWidth="1"/>
  </cols>
  <sheetData>
    <row r="1" spans="2:14" ht="13.8" thickBot="1" x14ac:dyDescent="0.25">
      <c r="B1" t="s">
        <v>72</v>
      </c>
    </row>
    <row r="2" spans="2:14" ht="13.8" thickBot="1" x14ac:dyDescent="0.25">
      <c r="B2" s="7"/>
      <c r="C2" s="111" t="s">
        <v>75</v>
      </c>
      <c r="D2" s="14" t="s">
        <v>49</v>
      </c>
      <c r="E2" s="14"/>
      <c r="F2" s="14"/>
      <c r="G2" s="16" t="s">
        <v>8</v>
      </c>
      <c r="H2" s="46" t="s">
        <v>78</v>
      </c>
      <c r="I2" s="47" t="s">
        <v>104</v>
      </c>
      <c r="J2" s="44" t="s">
        <v>111</v>
      </c>
      <c r="K2" s="45" t="s">
        <v>112</v>
      </c>
      <c r="L2" s="43" t="s">
        <v>9</v>
      </c>
      <c r="M2" s="15" t="s">
        <v>1</v>
      </c>
      <c r="N2" s="18"/>
    </row>
    <row r="3" spans="2:14" x14ac:dyDescent="0.2">
      <c r="B3" s="9" t="s">
        <v>122</v>
      </c>
      <c r="C3" s="112" t="s">
        <v>105</v>
      </c>
      <c r="D3" s="63" t="s">
        <v>115</v>
      </c>
      <c r="E3" s="63"/>
      <c r="F3" s="63"/>
      <c r="G3" s="64">
        <f>2.15*2.15+4.5*3*14.5</f>
        <v>200.3725</v>
      </c>
      <c r="H3" s="63">
        <f>G3</f>
        <v>200.3725</v>
      </c>
      <c r="I3" s="64"/>
      <c r="J3" s="64">
        <v>33</v>
      </c>
      <c r="K3" s="64">
        <f>0.9*0.9*(6.5+8+7+6+6.5+7.5)</f>
        <v>33.615000000000002</v>
      </c>
      <c r="L3" s="36">
        <f>1.8*2*3+0.9*2*4</f>
        <v>18</v>
      </c>
      <c r="M3" s="85"/>
      <c r="N3" s="5"/>
    </row>
    <row r="4" spans="2:14" x14ac:dyDescent="0.2">
      <c r="B4" s="10"/>
      <c r="C4" s="113" t="s">
        <v>113</v>
      </c>
      <c r="D4" s="66" t="s">
        <v>2</v>
      </c>
      <c r="E4" s="66"/>
      <c r="F4" s="66"/>
      <c r="G4" s="67">
        <f>4.15*6.55</f>
        <v>27.182500000000001</v>
      </c>
      <c r="H4" s="66">
        <v>0</v>
      </c>
      <c r="I4" s="67"/>
      <c r="J4" s="67">
        <v>1</v>
      </c>
      <c r="K4" s="67">
        <f>3.8*2</f>
        <v>7.6</v>
      </c>
      <c r="L4" s="35">
        <v>0</v>
      </c>
      <c r="M4" s="42" t="s">
        <v>125</v>
      </c>
      <c r="N4" s="5"/>
    </row>
    <row r="5" spans="2:14" x14ac:dyDescent="0.2">
      <c r="B5" s="10"/>
      <c r="C5" s="113" t="s">
        <v>154</v>
      </c>
      <c r="D5" s="66" t="s">
        <v>115</v>
      </c>
      <c r="E5" s="66"/>
      <c r="F5" s="66"/>
      <c r="G5" s="67">
        <f>9.6*6.55</f>
        <v>62.879999999999995</v>
      </c>
      <c r="H5" s="66">
        <f>G5</f>
        <v>62.879999999999995</v>
      </c>
      <c r="I5" s="67"/>
      <c r="J5" s="67">
        <v>10</v>
      </c>
      <c r="K5" s="67">
        <f>0.9*0.9*(7.5+7)</f>
        <v>11.745000000000001</v>
      </c>
      <c r="L5" s="35">
        <f>1.8*2*3.5</f>
        <v>12.6</v>
      </c>
      <c r="M5" s="42"/>
      <c r="N5" s="5"/>
    </row>
    <row r="6" spans="2:14" x14ac:dyDescent="0.2">
      <c r="B6" s="10"/>
      <c r="C6" s="113" t="s">
        <v>126</v>
      </c>
      <c r="D6" s="66" t="s">
        <v>115</v>
      </c>
      <c r="E6" s="66"/>
      <c r="F6" s="66"/>
      <c r="G6" s="67">
        <f>4.675*6.55</f>
        <v>30.621249999999996</v>
      </c>
      <c r="H6" s="66">
        <f>G6</f>
        <v>30.621249999999996</v>
      </c>
      <c r="I6" s="67"/>
      <c r="J6" s="67">
        <v>3</v>
      </c>
      <c r="K6" s="67">
        <f>0.9*0.9*7.5</f>
        <v>6.0750000000000002</v>
      </c>
      <c r="L6" s="35">
        <f>1.8*2*(1+0.5)</f>
        <v>5.4</v>
      </c>
      <c r="M6" s="42"/>
      <c r="N6" s="5"/>
    </row>
    <row r="7" spans="2:14" x14ac:dyDescent="0.2">
      <c r="B7" s="10"/>
      <c r="C7" s="114" t="s">
        <v>23</v>
      </c>
      <c r="D7" s="108" t="s">
        <v>99</v>
      </c>
      <c r="E7" s="108"/>
      <c r="F7" s="108"/>
      <c r="G7" s="91">
        <f>2.25*6.55</f>
        <v>14.737499999999999</v>
      </c>
      <c r="H7" s="108">
        <f>G7</f>
        <v>14.737499999999999</v>
      </c>
      <c r="I7" s="91"/>
      <c r="J7" s="91">
        <v>4</v>
      </c>
      <c r="K7" s="91">
        <f>0.9*0.9*6</f>
        <v>4.8600000000000003</v>
      </c>
      <c r="L7" s="91">
        <f>0.9*2*2</f>
        <v>3.6</v>
      </c>
      <c r="M7" s="109"/>
      <c r="N7" s="5"/>
    </row>
    <row r="8" spans="2:14" x14ac:dyDescent="0.2">
      <c r="B8" s="10"/>
      <c r="C8" s="114" t="s">
        <v>155</v>
      </c>
      <c r="D8" s="108" t="s">
        <v>115</v>
      </c>
      <c r="E8" s="108"/>
      <c r="F8" s="108"/>
      <c r="G8" s="91">
        <f>8.7*4.5*9-(4.5+4.3)*2.25</f>
        <v>332.54999999999995</v>
      </c>
      <c r="H8" s="108">
        <f>G8</f>
        <v>332.54999999999995</v>
      </c>
      <c r="I8" s="91">
        <f>H8</f>
        <v>332.54999999999995</v>
      </c>
      <c r="J8" s="91">
        <v>55</v>
      </c>
      <c r="K8" s="91">
        <f>0.9*0.9*(8+7+7+7+8+7+7+8+7+8+4)+1.1*0.57*2</f>
        <v>64.434000000000012</v>
      </c>
      <c r="L8" s="91">
        <f>1.8*2*18+0.9*2*4+1.4*2*2</f>
        <v>77.599999999999994</v>
      </c>
      <c r="M8" s="109"/>
      <c r="N8" s="5"/>
    </row>
    <row r="9" spans="2:14" x14ac:dyDescent="0.2">
      <c r="B9" s="10"/>
      <c r="C9" s="114" t="s">
        <v>156</v>
      </c>
      <c r="D9" s="108" t="s">
        <v>99</v>
      </c>
      <c r="E9" s="108"/>
      <c r="F9" s="108"/>
      <c r="G9" s="91">
        <f>3.5*3.6</f>
        <v>12.6</v>
      </c>
      <c r="H9" s="108">
        <v>0</v>
      </c>
      <c r="I9" s="91"/>
      <c r="J9" s="91">
        <v>2</v>
      </c>
      <c r="K9" s="91">
        <f>0.9*0.9*4</f>
        <v>3.24</v>
      </c>
      <c r="L9" s="91">
        <v>0</v>
      </c>
      <c r="M9" s="109"/>
      <c r="N9" s="5"/>
    </row>
    <row r="10" spans="2:14" x14ac:dyDescent="0.2">
      <c r="B10" s="10"/>
      <c r="C10" s="114" t="s">
        <v>157</v>
      </c>
      <c r="D10" s="108" t="s">
        <v>115</v>
      </c>
      <c r="E10" s="108"/>
      <c r="F10" s="108"/>
      <c r="G10" s="91">
        <f>4.675*6.55</f>
        <v>30.621249999999996</v>
      </c>
      <c r="H10" s="108">
        <f>G10</f>
        <v>30.621249999999996</v>
      </c>
      <c r="I10" s="91"/>
      <c r="J10" s="91">
        <v>4</v>
      </c>
      <c r="K10" s="91">
        <f>0.9*0.9*7</f>
        <v>5.67</v>
      </c>
      <c r="L10" s="91">
        <f>1.4*2*2</f>
        <v>5.6</v>
      </c>
      <c r="M10" s="109"/>
      <c r="N10" s="5"/>
    </row>
    <row r="11" spans="2:14" x14ac:dyDescent="0.2">
      <c r="B11" s="10"/>
      <c r="C11" s="114" t="s">
        <v>41</v>
      </c>
      <c r="D11" s="108" t="s">
        <v>99</v>
      </c>
      <c r="E11" s="108"/>
      <c r="F11" s="108"/>
      <c r="G11" s="91">
        <f>2.575*5.7</f>
        <v>14.677500000000002</v>
      </c>
      <c r="H11" s="108">
        <v>0</v>
      </c>
      <c r="I11" s="91"/>
      <c r="J11" s="91">
        <v>1</v>
      </c>
      <c r="K11" s="91">
        <f>1.26*0.9*2+0.4*0.9*2</f>
        <v>2.9880000000000004</v>
      </c>
      <c r="L11" s="91">
        <v>0</v>
      </c>
      <c r="M11" s="109"/>
      <c r="N11" s="5"/>
    </row>
    <row r="12" spans="2:14" x14ac:dyDescent="0.2">
      <c r="B12" s="10"/>
      <c r="C12" s="114" t="s">
        <v>42</v>
      </c>
      <c r="D12" s="108" t="s">
        <v>99</v>
      </c>
      <c r="E12" s="108"/>
      <c r="F12" s="108"/>
      <c r="G12" s="91">
        <f>9.6*5.7</f>
        <v>54.72</v>
      </c>
      <c r="H12" s="108">
        <v>0</v>
      </c>
      <c r="I12" s="91"/>
      <c r="J12" s="91">
        <v>7</v>
      </c>
      <c r="K12" s="91">
        <f>0.9*0.9*6</f>
        <v>4.8600000000000003</v>
      </c>
      <c r="L12" s="91">
        <v>0</v>
      </c>
      <c r="M12" s="109"/>
      <c r="N12" s="5"/>
    </row>
    <row r="13" spans="2:14" x14ac:dyDescent="0.2">
      <c r="B13" s="10"/>
      <c r="C13" s="113" t="s">
        <v>51</v>
      </c>
      <c r="D13" s="66" t="s">
        <v>15</v>
      </c>
      <c r="E13" s="66">
        <v>5.7</v>
      </c>
      <c r="F13" s="66">
        <v>4.1500000000000004</v>
      </c>
      <c r="G13" s="67">
        <f>4.15*5.7</f>
        <v>23.655000000000001</v>
      </c>
      <c r="H13" s="66">
        <f>G13</f>
        <v>23.655000000000001</v>
      </c>
      <c r="I13" s="67"/>
      <c r="J13" s="67"/>
      <c r="K13" s="68">
        <f>0.9*0.9*12</f>
        <v>9.7200000000000006</v>
      </c>
      <c r="L13" s="35">
        <v>0</v>
      </c>
      <c r="M13" s="42"/>
      <c r="N13" s="5"/>
    </row>
    <row r="14" spans="2:14" x14ac:dyDescent="0.2">
      <c r="B14" s="10"/>
      <c r="C14" s="113" t="s">
        <v>142</v>
      </c>
      <c r="D14" s="66" t="s">
        <v>5</v>
      </c>
      <c r="E14" s="66"/>
      <c r="F14" s="66"/>
      <c r="G14" s="67">
        <f>4.675*5.7</f>
        <v>26.647500000000001</v>
      </c>
      <c r="H14" s="66">
        <f>G14</f>
        <v>26.647500000000001</v>
      </c>
      <c r="I14" s="67"/>
      <c r="J14" s="67">
        <v>6</v>
      </c>
      <c r="K14" s="68">
        <f>0.9*0.7*2+0.9*0.4*2</f>
        <v>1.98</v>
      </c>
      <c r="L14" s="35">
        <v>0</v>
      </c>
      <c r="M14" s="42" t="s">
        <v>127</v>
      </c>
      <c r="N14" s="5"/>
    </row>
    <row r="15" spans="2:14" x14ac:dyDescent="0.2">
      <c r="B15" s="10"/>
      <c r="C15" s="113" t="s">
        <v>52</v>
      </c>
      <c r="D15" s="66" t="s">
        <v>7</v>
      </c>
      <c r="E15" s="66"/>
      <c r="F15" s="66"/>
      <c r="G15" s="67">
        <f>2.1*5.7</f>
        <v>11.97</v>
      </c>
      <c r="H15" s="66">
        <f>G15</f>
        <v>11.97</v>
      </c>
      <c r="I15" s="67"/>
      <c r="J15" s="67">
        <v>3</v>
      </c>
      <c r="K15" s="67">
        <f>0.85*0.64+0.85*0.32</f>
        <v>0.81600000000000006</v>
      </c>
      <c r="L15" s="35">
        <v>0</v>
      </c>
      <c r="M15" s="42"/>
      <c r="N15" s="5"/>
    </row>
    <row r="16" spans="2:14" x14ac:dyDescent="0.2">
      <c r="B16" s="10"/>
      <c r="C16" s="115" t="s">
        <v>81</v>
      </c>
      <c r="D16" s="69" t="s">
        <v>5</v>
      </c>
      <c r="E16" s="69"/>
      <c r="F16" s="69"/>
      <c r="G16" s="70">
        <f>2.75*2.075</f>
        <v>5.7062500000000007</v>
      </c>
      <c r="H16" s="69">
        <f>G16</f>
        <v>5.7062500000000007</v>
      </c>
      <c r="I16" s="70"/>
      <c r="J16" s="70">
        <v>1</v>
      </c>
      <c r="K16" s="70">
        <f>0.6*0.18*2</f>
        <v>0.216</v>
      </c>
      <c r="L16" s="48">
        <v>0</v>
      </c>
      <c r="M16" s="92"/>
      <c r="N16" s="5"/>
    </row>
    <row r="17" spans="2:15" x14ac:dyDescent="0.2">
      <c r="B17" s="10"/>
      <c r="C17" s="115" t="s">
        <v>4</v>
      </c>
      <c r="D17" s="69" t="s">
        <v>4</v>
      </c>
      <c r="E17" s="69"/>
      <c r="F17" s="69"/>
      <c r="G17" s="70">
        <f>2.25*(2.25+0.6+13.5+4.5+2.35)+1.4*5.5+0.95*3.625</f>
        <v>63.343750000000007</v>
      </c>
      <c r="H17" s="69">
        <f>G17</f>
        <v>63.343750000000007</v>
      </c>
      <c r="I17" s="70"/>
      <c r="J17" s="70"/>
      <c r="K17" s="70"/>
      <c r="L17" s="35">
        <v>0</v>
      </c>
      <c r="M17" s="92"/>
      <c r="N17" s="5"/>
    </row>
    <row r="18" spans="2:15" x14ac:dyDescent="0.2">
      <c r="B18" s="49"/>
      <c r="C18" s="113"/>
      <c r="D18" s="66"/>
      <c r="E18" s="66"/>
      <c r="F18" s="66"/>
      <c r="G18" s="67"/>
      <c r="H18" s="66"/>
      <c r="I18" s="67"/>
      <c r="J18" s="67"/>
      <c r="K18" s="67"/>
      <c r="L18" s="35"/>
      <c r="M18" s="42"/>
      <c r="N18" s="5"/>
    </row>
    <row r="19" spans="2:15" x14ac:dyDescent="0.2">
      <c r="B19" s="10" t="s">
        <v>59</v>
      </c>
      <c r="C19" s="116" t="s">
        <v>16</v>
      </c>
      <c r="D19" s="71" t="s">
        <v>16</v>
      </c>
      <c r="E19" s="71"/>
      <c r="F19" s="71"/>
      <c r="G19" s="72">
        <f>10*(37.8+0.2+0.2)+5.4*4*1</f>
        <v>403.6</v>
      </c>
      <c r="H19" s="71">
        <v>0</v>
      </c>
      <c r="I19" s="72"/>
      <c r="J19" s="72">
        <v>14</v>
      </c>
      <c r="K19" s="72">
        <f>0.85*0.77*(4+4+4)</f>
        <v>7.8539999999999992</v>
      </c>
      <c r="L19" s="37">
        <v>0</v>
      </c>
      <c r="M19" s="93"/>
      <c r="N19" s="5"/>
    </row>
    <row r="20" spans="2:15" x14ac:dyDescent="0.2">
      <c r="B20" s="10"/>
      <c r="C20" s="113" t="s">
        <v>73</v>
      </c>
      <c r="D20" s="66" t="s">
        <v>16</v>
      </c>
      <c r="E20" s="66"/>
      <c r="F20" s="66"/>
      <c r="G20" s="67">
        <f>1.6*(1.8+0.2+0.1)</f>
        <v>3.3600000000000003</v>
      </c>
      <c r="H20" s="66">
        <v>0</v>
      </c>
      <c r="I20" s="67"/>
      <c r="J20" s="67">
        <v>0</v>
      </c>
      <c r="K20" s="67">
        <v>0</v>
      </c>
      <c r="L20" s="35">
        <v>0</v>
      </c>
      <c r="M20" s="42"/>
      <c r="N20" s="5"/>
    </row>
    <row r="21" spans="2:15" x14ac:dyDescent="0.2">
      <c r="B21" s="10"/>
      <c r="C21" s="113" t="s">
        <v>58</v>
      </c>
      <c r="D21" s="66" t="s">
        <v>115</v>
      </c>
      <c r="E21" s="66"/>
      <c r="F21" s="66"/>
      <c r="G21" s="67">
        <f>(3.6+0.2)*(2.7+2.7)</f>
        <v>20.520000000000003</v>
      </c>
      <c r="H21" s="66">
        <v>0</v>
      </c>
      <c r="I21" s="67"/>
      <c r="J21" s="67">
        <v>5</v>
      </c>
      <c r="K21" s="67">
        <f>1.05*0.8*2</f>
        <v>1.6800000000000002</v>
      </c>
      <c r="L21" s="35">
        <f>1.8*2</f>
        <v>3.6</v>
      </c>
      <c r="M21" s="42"/>
      <c r="N21" s="5"/>
    </row>
    <row r="22" spans="2:15" x14ac:dyDescent="0.2">
      <c r="B22" s="10"/>
      <c r="C22" s="113" t="s">
        <v>55</v>
      </c>
      <c r="D22" s="66" t="s">
        <v>55</v>
      </c>
      <c r="E22" s="66"/>
      <c r="F22" s="66"/>
      <c r="G22" s="67">
        <f>1.6*(1.035+2.315+1.045)</f>
        <v>7.032</v>
      </c>
      <c r="H22" s="66">
        <v>0</v>
      </c>
      <c r="I22" s="67"/>
      <c r="J22" s="67">
        <v>3</v>
      </c>
      <c r="K22" s="67">
        <v>0</v>
      </c>
      <c r="L22" s="35">
        <v>0</v>
      </c>
      <c r="M22" s="42"/>
      <c r="N22" s="5"/>
    </row>
    <row r="23" spans="2:15" x14ac:dyDescent="0.2">
      <c r="B23" s="10"/>
      <c r="C23" s="113" t="s">
        <v>26</v>
      </c>
      <c r="D23" s="66" t="s">
        <v>3</v>
      </c>
      <c r="E23" s="66"/>
      <c r="F23" s="66"/>
      <c r="G23" s="67">
        <f>2.705*1.6</f>
        <v>4.3280000000000003</v>
      </c>
      <c r="H23" s="66">
        <v>0</v>
      </c>
      <c r="I23" s="67"/>
      <c r="J23" s="67">
        <v>1</v>
      </c>
      <c r="K23" s="67">
        <v>0</v>
      </c>
      <c r="L23" s="35">
        <v>0</v>
      </c>
      <c r="M23" s="42"/>
      <c r="N23" s="5"/>
    </row>
    <row r="24" spans="2:15" x14ac:dyDescent="0.2">
      <c r="B24" s="10"/>
      <c r="C24" s="113" t="s">
        <v>56</v>
      </c>
      <c r="D24" s="66" t="s">
        <v>3</v>
      </c>
      <c r="E24" s="66"/>
      <c r="F24" s="66"/>
      <c r="G24" s="67">
        <f>2.725*3.6</f>
        <v>9.81</v>
      </c>
      <c r="H24" s="66">
        <v>0</v>
      </c>
      <c r="I24" s="67"/>
      <c r="J24" s="67">
        <v>1</v>
      </c>
      <c r="K24" s="67">
        <f>1.05*0.8*2</f>
        <v>1.6800000000000002</v>
      </c>
      <c r="L24" s="35">
        <f>1.8*2</f>
        <v>3.6</v>
      </c>
      <c r="M24" s="42"/>
      <c r="N24" s="5"/>
    </row>
    <row r="25" spans="2:15" x14ac:dyDescent="0.2">
      <c r="B25" s="10"/>
      <c r="C25" s="114" t="s">
        <v>57</v>
      </c>
      <c r="D25" s="108" t="s">
        <v>99</v>
      </c>
      <c r="E25" s="108"/>
      <c r="F25" s="108"/>
      <c r="G25" s="91">
        <f>2.7*3.6</f>
        <v>9.7200000000000006</v>
      </c>
      <c r="H25" s="108">
        <v>0</v>
      </c>
      <c r="I25" s="91"/>
      <c r="J25" s="91">
        <v>1</v>
      </c>
      <c r="K25" s="91">
        <f>1.05*0.8*2</f>
        <v>1.6800000000000002</v>
      </c>
      <c r="L25" s="91">
        <v>0</v>
      </c>
      <c r="M25" s="109"/>
      <c r="N25" s="5"/>
    </row>
    <row r="26" spans="2:15" x14ac:dyDescent="0.2">
      <c r="B26" s="10"/>
      <c r="C26" s="114" t="s">
        <v>26</v>
      </c>
      <c r="D26" s="108" t="s">
        <v>99</v>
      </c>
      <c r="E26" s="108"/>
      <c r="F26" s="108"/>
      <c r="G26" s="91">
        <f>5.8*7</f>
        <v>40.6</v>
      </c>
      <c r="H26" s="108">
        <v>0</v>
      </c>
      <c r="I26" s="91"/>
      <c r="J26" s="91">
        <v>4</v>
      </c>
      <c r="K26" s="91">
        <f>1.05*0.87*2+0.7*0.92*2</f>
        <v>3.1150000000000002</v>
      </c>
      <c r="L26" s="91">
        <v>0</v>
      </c>
      <c r="M26" s="109"/>
      <c r="N26" s="5"/>
    </row>
    <row r="27" spans="2:15" x14ac:dyDescent="0.2">
      <c r="B27" s="10"/>
      <c r="C27" s="113" t="s">
        <v>4</v>
      </c>
      <c r="D27" s="66" t="s">
        <v>4</v>
      </c>
      <c r="E27" s="66"/>
      <c r="F27" s="66"/>
      <c r="G27" s="67">
        <f>1.575*3.6+1.6*1.685+1.8*7</f>
        <v>20.966000000000001</v>
      </c>
      <c r="H27" s="69">
        <f>G27</f>
        <v>20.966000000000001</v>
      </c>
      <c r="I27" s="67"/>
      <c r="J27" s="67"/>
      <c r="K27" s="67"/>
      <c r="L27" s="35">
        <v>0</v>
      </c>
      <c r="M27" s="42"/>
      <c r="N27" s="5"/>
    </row>
    <row r="28" spans="2:15" x14ac:dyDescent="0.2">
      <c r="B28" s="10"/>
      <c r="C28" s="113" t="s">
        <v>74</v>
      </c>
      <c r="D28" s="66" t="s">
        <v>74</v>
      </c>
      <c r="E28" s="66"/>
      <c r="F28" s="66"/>
      <c r="G28" s="73">
        <f>1448.69-SUM(G3:G27)</f>
        <v>16.469000000000278</v>
      </c>
      <c r="H28" s="66">
        <v>0</v>
      </c>
      <c r="I28" s="73"/>
      <c r="J28" s="74"/>
      <c r="K28" s="73">
        <f>(0.3+0.7)*0.92</f>
        <v>0.92</v>
      </c>
      <c r="L28" s="35">
        <v>0</v>
      </c>
      <c r="M28" s="42"/>
      <c r="N28" s="5"/>
      <c r="O28" s="90"/>
    </row>
    <row r="29" spans="2:15" x14ac:dyDescent="0.2">
      <c r="B29" s="10"/>
      <c r="C29" s="113"/>
      <c r="D29" s="66"/>
      <c r="E29" s="66"/>
      <c r="F29" s="66"/>
      <c r="G29" s="67"/>
      <c r="H29" s="66"/>
      <c r="I29" s="67"/>
      <c r="J29" s="74"/>
      <c r="K29" s="67"/>
      <c r="L29" s="35"/>
      <c r="M29" s="42"/>
      <c r="N29" s="5"/>
    </row>
    <row r="30" spans="2:15" ht="13.8" thickBot="1" x14ac:dyDescent="0.25">
      <c r="B30" s="12"/>
      <c r="C30" s="117" t="s">
        <v>71</v>
      </c>
      <c r="D30" s="94"/>
      <c r="E30" s="94"/>
      <c r="F30" s="94"/>
      <c r="G30" s="95">
        <f>SUM(G3:G29)</f>
        <v>1448.69</v>
      </c>
      <c r="H30" s="94">
        <f>SUM(H3:H29)</f>
        <v>824.07099999999991</v>
      </c>
      <c r="I30" s="94">
        <f>SUM(I3:I29)</f>
        <v>332.54999999999995</v>
      </c>
      <c r="J30" s="96">
        <f>SUM(J3:J29)</f>
        <v>159</v>
      </c>
      <c r="K30" s="94">
        <f>SUM(K3:K29)</f>
        <v>174.74800000000002</v>
      </c>
      <c r="L30" s="97">
        <f>SUM(L3:L28)</f>
        <v>129.99999999999997</v>
      </c>
      <c r="M30" s="98"/>
      <c r="N30" s="5"/>
    </row>
    <row r="31" spans="2:15" x14ac:dyDescent="0.2">
      <c r="B31" s="9" t="s">
        <v>123</v>
      </c>
      <c r="C31" s="112" t="s">
        <v>106</v>
      </c>
      <c r="D31" s="66" t="s">
        <v>115</v>
      </c>
      <c r="E31" s="63"/>
      <c r="F31" s="63"/>
      <c r="G31" s="64">
        <f>6.55*27+(2.45+5.5)*16.2</f>
        <v>305.64</v>
      </c>
      <c r="H31" s="66">
        <f t="shared" ref="H31:H36" si="0">G31</f>
        <v>305.64</v>
      </c>
      <c r="I31" s="72"/>
      <c r="J31" s="75">
        <v>43</v>
      </c>
      <c r="K31" s="72">
        <f>0.9*0.9*(4+7+7.5+7+6+7.5+7+8+6.5+7)</f>
        <v>54.675000000000004</v>
      </c>
      <c r="L31" s="50">
        <f>1.8*2*9+0.9*2*3</f>
        <v>37.799999999999997</v>
      </c>
      <c r="M31" s="85"/>
      <c r="N31" s="5"/>
    </row>
    <row r="32" spans="2:15" x14ac:dyDescent="0.2">
      <c r="B32" s="10"/>
      <c r="C32" s="114" t="s">
        <v>159</v>
      </c>
      <c r="D32" s="108" t="s">
        <v>115</v>
      </c>
      <c r="E32" s="108"/>
      <c r="F32" s="108"/>
      <c r="G32" s="91">
        <f>4.5*6.55</f>
        <v>29.474999999999998</v>
      </c>
      <c r="H32" s="108">
        <f t="shared" si="0"/>
        <v>29.474999999999998</v>
      </c>
      <c r="I32" s="91"/>
      <c r="J32" s="129">
        <v>4</v>
      </c>
      <c r="K32" s="91">
        <f>0.9*0.9*7</f>
        <v>5.67</v>
      </c>
      <c r="L32" s="129">
        <f>1.8*2*2</f>
        <v>7.2</v>
      </c>
      <c r="M32" s="130"/>
      <c r="N32" s="5"/>
    </row>
    <row r="33" spans="2:15" x14ac:dyDescent="0.2">
      <c r="B33" s="10"/>
      <c r="C33" s="114" t="s">
        <v>107</v>
      </c>
      <c r="D33" s="108" t="s">
        <v>99</v>
      </c>
      <c r="E33" s="108"/>
      <c r="F33" s="108"/>
      <c r="G33" s="91">
        <f>2.25*6.55</f>
        <v>14.737499999999999</v>
      </c>
      <c r="H33" s="108">
        <f t="shared" si="0"/>
        <v>14.737499999999999</v>
      </c>
      <c r="I33" s="91"/>
      <c r="J33" s="129">
        <v>4</v>
      </c>
      <c r="K33" s="91">
        <f>0.9*0.9*4</f>
        <v>3.24</v>
      </c>
      <c r="L33" s="129">
        <f>1.8*2*1</f>
        <v>3.6</v>
      </c>
      <c r="M33" s="109"/>
      <c r="N33" s="5"/>
    </row>
    <row r="34" spans="2:15" x14ac:dyDescent="0.2">
      <c r="B34" s="10"/>
      <c r="C34" s="114" t="s">
        <v>160</v>
      </c>
      <c r="D34" s="108" t="s">
        <v>115</v>
      </c>
      <c r="E34" s="108"/>
      <c r="F34" s="108"/>
      <c r="G34" s="91">
        <f>2.85*6.55</f>
        <v>18.6675</v>
      </c>
      <c r="H34" s="108">
        <f t="shared" si="0"/>
        <v>18.6675</v>
      </c>
      <c r="I34" s="91"/>
      <c r="J34" s="129">
        <v>3</v>
      </c>
      <c r="K34" s="91">
        <f>0.9*0.9*4</f>
        <v>3.24</v>
      </c>
      <c r="L34" s="129">
        <f>1.8*2*1</f>
        <v>3.6</v>
      </c>
      <c r="M34" s="109"/>
      <c r="N34" s="5"/>
    </row>
    <row r="35" spans="2:15" x14ac:dyDescent="0.2">
      <c r="B35" s="10"/>
      <c r="C35" s="114" t="s">
        <v>161</v>
      </c>
      <c r="D35" s="108" t="s">
        <v>115</v>
      </c>
      <c r="E35" s="108"/>
      <c r="F35" s="108"/>
      <c r="G35" s="91">
        <f>2.25*6.55</f>
        <v>14.737499999999999</v>
      </c>
      <c r="H35" s="108">
        <f t="shared" si="0"/>
        <v>14.737499999999999</v>
      </c>
      <c r="I35" s="91"/>
      <c r="J35" s="129">
        <v>1</v>
      </c>
      <c r="K35" s="91">
        <f>0.9*0.9*4</f>
        <v>3.24</v>
      </c>
      <c r="L35" s="129">
        <f>1.8*2*1</f>
        <v>3.6</v>
      </c>
      <c r="M35" s="109"/>
      <c r="N35" s="5"/>
    </row>
    <row r="36" spans="2:15" x14ac:dyDescent="0.2">
      <c r="B36" s="10"/>
      <c r="C36" s="114" t="s">
        <v>162</v>
      </c>
      <c r="D36" s="108" t="s">
        <v>115</v>
      </c>
      <c r="E36" s="108"/>
      <c r="F36" s="108"/>
      <c r="G36" s="91">
        <f>6.75*4.5</f>
        <v>30.375</v>
      </c>
      <c r="H36" s="108">
        <f t="shared" si="0"/>
        <v>30.375</v>
      </c>
      <c r="I36" s="91"/>
      <c r="J36" s="129">
        <v>3</v>
      </c>
      <c r="K36" s="91">
        <f>0.9*0.9*(4+8+8)</f>
        <v>16.200000000000003</v>
      </c>
      <c r="L36" s="129">
        <f>1.8*2*5</f>
        <v>18</v>
      </c>
      <c r="M36" s="109"/>
      <c r="N36" s="5"/>
    </row>
    <row r="37" spans="2:15" x14ac:dyDescent="0.2">
      <c r="B37" s="10"/>
      <c r="C37" s="114" t="s">
        <v>24</v>
      </c>
      <c r="D37" s="108" t="s">
        <v>99</v>
      </c>
      <c r="E37" s="108"/>
      <c r="F37" s="108"/>
      <c r="G37" s="91">
        <f>(4.5+5.5)*6.75</f>
        <v>67.5</v>
      </c>
      <c r="H37" s="108">
        <v>0</v>
      </c>
      <c r="I37" s="91"/>
      <c r="J37" s="129">
        <v>4</v>
      </c>
      <c r="K37" s="91">
        <f>0.9*0.9*(8+7.5)</f>
        <v>12.555000000000001</v>
      </c>
      <c r="L37" s="129">
        <v>0</v>
      </c>
      <c r="M37" s="109"/>
      <c r="N37" s="5"/>
    </row>
    <row r="38" spans="2:15" x14ac:dyDescent="0.2">
      <c r="B38" s="10"/>
      <c r="C38" s="114" t="s">
        <v>25</v>
      </c>
      <c r="D38" s="66" t="s">
        <v>115</v>
      </c>
      <c r="E38" s="66"/>
      <c r="F38" s="66"/>
      <c r="G38" s="67">
        <f>11.25*9+4.5*9</f>
        <v>141.75</v>
      </c>
      <c r="H38" s="66">
        <f>G38</f>
        <v>141.75</v>
      </c>
      <c r="I38" s="67"/>
      <c r="J38" s="74">
        <v>22</v>
      </c>
      <c r="K38" s="67">
        <f>0.9*0.9*(4+8+7.5+8+7+7.5+7+4)+0.9*0.9*7</f>
        <v>48.6</v>
      </c>
      <c r="L38" s="50">
        <f>1.8*2*(7+6+0.5)</f>
        <v>48.6</v>
      </c>
      <c r="M38" s="42"/>
      <c r="N38" s="5"/>
    </row>
    <row r="39" spans="2:15" x14ac:dyDescent="0.2">
      <c r="B39" s="10"/>
      <c r="C39" s="114" t="s">
        <v>54</v>
      </c>
      <c r="D39" s="66" t="s">
        <v>115</v>
      </c>
      <c r="E39" s="66"/>
      <c r="F39" s="66"/>
      <c r="G39" s="67">
        <f>2.25*9</f>
        <v>20.25</v>
      </c>
      <c r="H39" s="66">
        <f>G39</f>
        <v>20.25</v>
      </c>
      <c r="I39" s="67"/>
      <c r="J39" s="74">
        <v>2</v>
      </c>
      <c r="K39" s="67">
        <f>0.9*0.9*(4+4)</f>
        <v>6.48</v>
      </c>
      <c r="L39" s="50">
        <f>1.8*2</f>
        <v>3.6</v>
      </c>
      <c r="M39" s="42"/>
      <c r="N39" s="5"/>
    </row>
    <row r="40" spans="2:15" x14ac:dyDescent="0.2">
      <c r="B40" s="10"/>
      <c r="C40" s="113" t="s">
        <v>27</v>
      </c>
      <c r="D40" s="66" t="s">
        <v>115</v>
      </c>
      <c r="E40" s="66"/>
      <c r="F40" s="66"/>
      <c r="G40" s="67">
        <f>6.75*4.7</f>
        <v>31.725000000000001</v>
      </c>
      <c r="H40" s="66">
        <f>G40</f>
        <v>31.725000000000001</v>
      </c>
      <c r="I40" s="67"/>
      <c r="J40" s="74">
        <v>4</v>
      </c>
      <c r="K40" s="67">
        <f>0.9*0.9*7</f>
        <v>5.67</v>
      </c>
      <c r="L40" s="50">
        <f>1.8*2*2</f>
        <v>7.2</v>
      </c>
      <c r="M40" s="42"/>
      <c r="N40" s="5"/>
    </row>
    <row r="41" spans="2:15" x14ac:dyDescent="0.2">
      <c r="B41" s="10"/>
      <c r="C41" s="113" t="s">
        <v>28</v>
      </c>
      <c r="D41" s="66" t="s">
        <v>99</v>
      </c>
      <c r="E41" s="66"/>
      <c r="F41" s="66"/>
      <c r="G41" s="67">
        <f>2.54*(0.6+2.25)</f>
        <v>7.2390000000000008</v>
      </c>
      <c r="H41" s="66">
        <v>0</v>
      </c>
      <c r="I41" s="67"/>
      <c r="J41" s="74">
        <v>1</v>
      </c>
      <c r="K41" s="67">
        <v>0</v>
      </c>
      <c r="L41" s="50">
        <v>0</v>
      </c>
      <c r="M41" s="42"/>
      <c r="N41" s="5"/>
    </row>
    <row r="42" spans="2:15" x14ac:dyDescent="0.2">
      <c r="B42" s="10"/>
      <c r="C42" s="113" t="s">
        <v>7</v>
      </c>
      <c r="D42" s="65" t="s">
        <v>7</v>
      </c>
      <c r="E42" s="76"/>
      <c r="F42" s="76"/>
      <c r="G42" s="67">
        <f>3.16*(0.6+2.25)</f>
        <v>9.0060000000000002</v>
      </c>
      <c r="H42" s="66">
        <f>G42</f>
        <v>9.0060000000000002</v>
      </c>
      <c r="I42" s="73"/>
      <c r="J42" s="74">
        <v>1</v>
      </c>
      <c r="K42" s="67">
        <f>0.9*0.9*2</f>
        <v>1.62</v>
      </c>
      <c r="L42" s="50">
        <v>0</v>
      </c>
      <c r="M42" s="42"/>
      <c r="N42" s="5"/>
    </row>
    <row r="43" spans="2:15" x14ac:dyDescent="0.2">
      <c r="B43" s="10"/>
      <c r="C43" s="113" t="s">
        <v>29</v>
      </c>
      <c r="D43" s="66" t="s">
        <v>115</v>
      </c>
      <c r="E43" s="66"/>
      <c r="F43" s="66"/>
      <c r="G43" s="67">
        <f>5.7*(2.25+4.5)</f>
        <v>38.475000000000001</v>
      </c>
      <c r="H43" s="66">
        <f>G43</f>
        <v>38.475000000000001</v>
      </c>
      <c r="I43" s="67"/>
      <c r="J43" s="74">
        <v>3</v>
      </c>
      <c r="K43" s="67">
        <f>0.9*0.9*(4+8)</f>
        <v>9.7200000000000006</v>
      </c>
      <c r="L43" s="50">
        <v>0</v>
      </c>
      <c r="M43" s="42"/>
      <c r="N43" s="5"/>
    </row>
    <row r="44" spans="2:15" x14ac:dyDescent="0.2">
      <c r="B44" s="10"/>
      <c r="C44" s="118" t="s">
        <v>143</v>
      </c>
      <c r="D44" s="66" t="s">
        <v>5</v>
      </c>
      <c r="E44" s="66"/>
      <c r="F44" s="66"/>
      <c r="G44" s="67">
        <f>4.675*5.7</f>
        <v>26.647500000000001</v>
      </c>
      <c r="H44" s="66">
        <f>G44</f>
        <v>26.647500000000001</v>
      </c>
      <c r="I44" s="73"/>
      <c r="J44" s="74">
        <v>6</v>
      </c>
      <c r="K44" s="68">
        <f>0.9*0.7*2+0.9*0.4*2</f>
        <v>1.98</v>
      </c>
      <c r="L44" s="50">
        <v>0</v>
      </c>
      <c r="M44" s="42" t="s">
        <v>127</v>
      </c>
      <c r="N44" s="5"/>
    </row>
    <row r="45" spans="2:15" x14ac:dyDescent="0.2">
      <c r="B45" s="10"/>
      <c r="C45" s="119" t="s">
        <v>114</v>
      </c>
      <c r="D45" s="66" t="s">
        <v>2</v>
      </c>
      <c r="E45" s="76"/>
      <c r="F45" s="76"/>
      <c r="G45" s="70">
        <f>6.75*3.3</f>
        <v>22.274999999999999</v>
      </c>
      <c r="H45" s="69">
        <v>0</v>
      </c>
      <c r="I45" s="77"/>
      <c r="J45" s="78">
        <v>2</v>
      </c>
      <c r="K45" s="68">
        <f>3.2*2</f>
        <v>6.4</v>
      </c>
      <c r="L45" s="52">
        <v>0</v>
      </c>
      <c r="M45" s="92"/>
      <c r="N45" s="5"/>
    </row>
    <row r="46" spans="2:15" x14ac:dyDescent="0.2">
      <c r="B46" s="10"/>
      <c r="C46" s="118" t="s">
        <v>101</v>
      </c>
      <c r="D46" s="66" t="s">
        <v>15</v>
      </c>
      <c r="E46" s="79">
        <v>5.7</v>
      </c>
      <c r="F46" s="79">
        <v>4.1500000000000004</v>
      </c>
      <c r="G46" s="67">
        <f>4.15*5.7</f>
        <v>23.655000000000001</v>
      </c>
      <c r="H46" s="66">
        <f>G46</f>
        <v>23.655000000000001</v>
      </c>
      <c r="I46" s="73"/>
      <c r="J46" s="74"/>
      <c r="K46" s="68">
        <f>0.9*0.9*12</f>
        <v>9.7200000000000006</v>
      </c>
      <c r="L46" s="50">
        <v>0</v>
      </c>
      <c r="M46" s="42"/>
      <c r="N46" s="5"/>
    </row>
    <row r="47" spans="2:15" x14ac:dyDescent="0.2">
      <c r="B47" s="10"/>
      <c r="C47" s="113" t="s">
        <v>4</v>
      </c>
      <c r="D47" s="66" t="s">
        <v>4</v>
      </c>
      <c r="E47" s="76"/>
      <c r="F47" s="76"/>
      <c r="G47" s="72">
        <f>1.975*5.7+2.25*(1.975+4.15+4.675+6.75)+2.225*(2.45+5.5+3.5+4.5)</f>
        <v>86.233750000000015</v>
      </c>
      <c r="H47" s="71">
        <f>G47</f>
        <v>86.233750000000015</v>
      </c>
      <c r="I47" s="80"/>
      <c r="J47" s="75">
        <v>9</v>
      </c>
      <c r="K47" s="81"/>
      <c r="L47" s="51"/>
      <c r="M47" s="93"/>
      <c r="N47" s="5"/>
    </row>
    <row r="48" spans="2:15" x14ac:dyDescent="0.2">
      <c r="B48" s="49"/>
      <c r="C48" s="118" t="s">
        <v>26</v>
      </c>
      <c r="D48" s="66" t="s">
        <v>3</v>
      </c>
      <c r="E48" s="76"/>
      <c r="F48" s="76"/>
      <c r="G48" s="72">
        <v>3.6</v>
      </c>
      <c r="H48" s="71"/>
      <c r="I48" s="80"/>
      <c r="J48" s="75"/>
      <c r="K48" s="81"/>
      <c r="L48" s="51"/>
      <c r="M48" s="93"/>
      <c r="N48" s="5"/>
      <c r="O48" s="90"/>
    </row>
    <row r="49" spans="2:15" x14ac:dyDescent="0.2">
      <c r="B49" s="10" t="s">
        <v>22</v>
      </c>
      <c r="C49" s="120" t="s">
        <v>30</v>
      </c>
      <c r="D49" s="71" t="s">
        <v>3</v>
      </c>
      <c r="E49" s="76"/>
      <c r="F49" s="76"/>
      <c r="G49" s="72">
        <f>9.2*5.825</f>
        <v>53.589999999999996</v>
      </c>
      <c r="H49" s="71">
        <f t="shared" ref="H49:H54" si="1">G49</f>
        <v>53.589999999999996</v>
      </c>
      <c r="I49" s="80"/>
      <c r="J49" s="75">
        <v>9</v>
      </c>
      <c r="K49" s="80">
        <f>0.9*1.7*4</f>
        <v>6.12</v>
      </c>
      <c r="L49" s="51">
        <f>1.8*2*2</f>
        <v>7.2</v>
      </c>
      <c r="M49" s="93"/>
      <c r="N49" s="5"/>
    </row>
    <row r="50" spans="2:15" x14ac:dyDescent="0.2">
      <c r="B50" s="10"/>
      <c r="C50" s="121"/>
      <c r="D50" s="71" t="s">
        <v>3</v>
      </c>
      <c r="E50" s="76"/>
      <c r="F50" s="76"/>
      <c r="G50" s="67">
        <f>1.8*5.825</f>
        <v>10.485000000000001</v>
      </c>
      <c r="H50" s="66">
        <f t="shared" si="1"/>
        <v>10.485000000000001</v>
      </c>
      <c r="I50" s="73"/>
      <c r="J50" s="74">
        <v>2</v>
      </c>
      <c r="K50" s="73">
        <v>0</v>
      </c>
      <c r="L50" s="50"/>
      <c r="M50" s="42"/>
      <c r="N50" s="5"/>
    </row>
    <row r="51" spans="2:15" x14ac:dyDescent="0.2">
      <c r="B51" s="10"/>
      <c r="C51" s="113" t="s">
        <v>31</v>
      </c>
      <c r="D51" s="66" t="s">
        <v>3</v>
      </c>
      <c r="E51" s="76"/>
      <c r="F51" s="76"/>
      <c r="G51" s="67">
        <f>6.2*5.825</f>
        <v>36.115000000000002</v>
      </c>
      <c r="H51" s="66">
        <f t="shared" si="1"/>
        <v>36.115000000000002</v>
      </c>
      <c r="I51" s="73"/>
      <c r="J51" s="74">
        <v>6</v>
      </c>
      <c r="K51" s="73">
        <f>0.9*1.7*4</f>
        <v>6.12</v>
      </c>
      <c r="L51" s="50">
        <f>1.8*2*2</f>
        <v>7.2</v>
      </c>
      <c r="M51" s="42"/>
      <c r="N51" s="5"/>
    </row>
    <row r="52" spans="2:15" x14ac:dyDescent="0.2">
      <c r="B52" s="10"/>
      <c r="C52" s="113" t="s">
        <v>32</v>
      </c>
      <c r="D52" s="66" t="s">
        <v>3</v>
      </c>
      <c r="E52" s="76"/>
      <c r="F52" s="76"/>
      <c r="G52" s="67">
        <f>6.2*(5.4+2.7-0.225)</f>
        <v>48.82500000000001</v>
      </c>
      <c r="H52" s="66">
        <f t="shared" si="1"/>
        <v>48.82500000000001</v>
      </c>
      <c r="I52" s="73"/>
      <c r="J52" s="74">
        <v>9</v>
      </c>
      <c r="K52" s="73">
        <f>0.9*1.7*(4+2)</f>
        <v>9.18</v>
      </c>
      <c r="L52" s="50">
        <f>1.8*2*3</f>
        <v>10.8</v>
      </c>
      <c r="M52" s="42"/>
      <c r="N52" s="5"/>
    </row>
    <row r="53" spans="2:15" x14ac:dyDescent="0.2">
      <c r="B53" s="10"/>
      <c r="C53" s="113" t="s">
        <v>33</v>
      </c>
      <c r="D53" s="66" t="s">
        <v>3</v>
      </c>
      <c r="E53" s="76"/>
      <c r="F53" s="76"/>
      <c r="G53" s="67">
        <f>6.2*5.4</f>
        <v>33.480000000000004</v>
      </c>
      <c r="H53" s="66">
        <f t="shared" si="1"/>
        <v>33.480000000000004</v>
      </c>
      <c r="I53" s="73"/>
      <c r="J53" s="74">
        <v>6</v>
      </c>
      <c r="K53" s="73">
        <f>0.9*1.7*4</f>
        <v>6.12</v>
      </c>
      <c r="L53" s="50">
        <f>1.8*2*2</f>
        <v>7.2</v>
      </c>
      <c r="M53" s="42"/>
      <c r="N53" s="5"/>
    </row>
    <row r="54" spans="2:15" x14ac:dyDescent="0.2">
      <c r="B54" s="10"/>
      <c r="C54" s="113" t="s">
        <v>152</v>
      </c>
      <c r="D54" s="66" t="s">
        <v>3</v>
      </c>
      <c r="E54" s="76"/>
      <c r="F54" s="76"/>
      <c r="G54" s="67">
        <f>6.2*(5.4+0.225)</f>
        <v>34.875</v>
      </c>
      <c r="H54" s="66">
        <f t="shared" si="1"/>
        <v>34.875</v>
      </c>
      <c r="I54" s="73"/>
      <c r="J54" s="74">
        <v>6</v>
      </c>
      <c r="K54" s="73">
        <f>0.9*1.7*4</f>
        <v>6.12</v>
      </c>
      <c r="L54" s="50">
        <f>1.8*2*2</f>
        <v>7.2</v>
      </c>
      <c r="M54" s="42"/>
      <c r="N54" s="5"/>
    </row>
    <row r="55" spans="2:15" x14ac:dyDescent="0.2">
      <c r="B55" s="10"/>
      <c r="C55" s="114" t="s">
        <v>110</v>
      </c>
      <c r="D55" s="108" t="s">
        <v>99</v>
      </c>
      <c r="E55" s="131"/>
      <c r="F55" s="131"/>
      <c r="G55" s="91">
        <f>5.2*(5.4+5.4-0.225+0.2)</f>
        <v>56.03</v>
      </c>
      <c r="H55" s="108">
        <v>0</v>
      </c>
      <c r="I55" s="91"/>
      <c r="J55" s="129">
        <v>6</v>
      </c>
      <c r="K55" s="132">
        <f>0.9*1.7*(4+4)</f>
        <v>12.24</v>
      </c>
      <c r="L55" s="129">
        <f>1.8*2*4</f>
        <v>14.4</v>
      </c>
      <c r="M55" s="109"/>
      <c r="N55" s="5"/>
    </row>
    <row r="56" spans="2:15" x14ac:dyDescent="0.2">
      <c r="B56" s="10"/>
      <c r="C56" s="114" t="s">
        <v>34</v>
      </c>
      <c r="D56" s="108" t="s">
        <v>82</v>
      </c>
      <c r="E56" s="131"/>
      <c r="F56" s="131"/>
      <c r="G56" s="91">
        <f>6.2*(5.4-0.225-0.025)</f>
        <v>31.930000000000003</v>
      </c>
      <c r="H56" s="108">
        <v>0</v>
      </c>
      <c r="I56" s="91"/>
      <c r="J56" s="129">
        <v>6</v>
      </c>
      <c r="K56" s="132">
        <f>0.9*1.7*4</f>
        <v>6.12</v>
      </c>
      <c r="L56" s="129">
        <f>1.8*2*2</f>
        <v>7.2</v>
      </c>
      <c r="M56" s="109"/>
      <c r="N56" s="5"/>
    </row>
    <row r="57" spans="2:15" x14ac:dyDescent="0.2">
      <c r="B57" s="10"/>
      <c r="C57" s="114" t="s">
        <v>35</v>
      </c>
      <c r="D57" s="108" t="s">
        <v>3</v>
      </c>
      <c r="E57" s="131"/>
      <c r="F57" s="131"/>
      <c r="G57" s="91">
        <f>2.7*6.2</f>
        <v>16.740000000000002</v>
      </c>
      <c r="H57" s="108">
        <f>G57</f>
        <v>16.740000000000002</v>
      </c>
      <c r="I57" s="132"/>
      <c r="J57" s="129">
        <v>3</v>
      </c>
      <c r="K57" s="132">
        <f>0.9*1.7*2</f>
        <v>3.06</v>
      </c>
      <c r="L57" s="129">
        <f>1.8*2*1</f>
        <v>3.6</v>
      </c>
      <c r="M57" s="109"/>
      <c r="N57" s="5"/>
    </row>
    <row r="58" spans="2:15" x14ac:dyDescent="0.2">
      <c r="B58" s="10"/>
      <c r="C58" s="114" t="s">
        <v>36</v>
      </c>
      <c r="D58" s="108" t="s">
        <v>115</v>
      </c>
      <c r="E58" s="131"/>
      <c r="F58" s="131"/>
      <c r="G58" s="91">
        <f>6.2*(5.4+0.225+0.2)</f>
        <v>36.115000000000002</v>
      </c>
      <c r="H58" s="108">
        <f>G58</f>
        <v>36.115000000000002</v>
      </c>
      <c r="I58" s="91"/>
      <c r="J58" s="129">
        <v>6</v>
      </c>
      <c r="K58" s="132">
        <f>0.9*1.7*4</f>
        <v>6.12</v>
      </c>
      <c r="L58" s="129">
        <f>1.8*2*2</f>
        <v>7.2</v>
      </c>
      <c r="M58" s="109"/>
      <c r="N58" s="5"/>
      <c r="O58" s="90"/>
    </row>
    <row r="59" spans="2:15" x14ac:dyDescent="0.2">
      <c r="B59" s="10"/>
      <c r="C59" s="114" t="s">
        <v>163</v>
      </c>
      <c r="D59" s="108" t="s">
        <v>99</v>
      </c>
      <c r="E59" s="131"/>
      <c r="F59" s="131"/>
      <c r="G59" s="91">
        <f>(2.2+1)*(5.4-1.8)</f>
        <v>11.520000000000003</v>
      </c>
      <c r="H59" s="108">
        <f>G59</f>
        <v>11.520000000000003</v>
      </c>
      <c r="I59" s="91"/>
      <c r="J59" s="129">
        <v>2</v>
      </c>
      <c r="K59" s="91">
        <f>0.87*1.1*2</f>
        <v>1.9140000000000001</v>
      </c>
      <c r="L59" s="129">
        <f>1.8*2*1</f>
        <v>3.6</v>
      </c>
      <c r="M59" s="133"/>
      <c r="N59" s="5"/>
    </row>
    <row r="60" spans="2:15" x14ac:dyDescent="0.2">
      <c r="B60" s="10"/>
      <c r="C60" s="113" t="s">
        <v>37</v>
      </c>
      <c r="D60" s="66" t="s">
        <v>99</v>
      </c>
      <c r="E60" s="76"/>
      <c r="F60" s="76"/>
      <c r="G60" s="67">
        <f>(5.4-0.225)*5.4</f>
        <v>27.945000000000007</v>
      </c>
      <c r="H60" s="66">
        <v>0</v>
      </c>
      <c r="I60" s="67"/>
      <c r="J60" s="74">
        <v>4</v>
      </c>
      <c r="K60" s="73">
        <f>0.8*1.5*4</f>
        <v>4.8000000000000007</v>
      </c>
      <c r="L60" s="50">
        <f>1.8*2*2</f>
        <v>7.2</v>
      </c>
      <c r="M60" s="42"/>
      <c r="N60" s="5"/>
    </row>
    <row r="61" spans="2:15" x14ac:dyDescent="0.2">
      <c r="B61" s="10"/>
      <c r="C61" s="113" t="s">
        <v>103</v>
      </c>
      <c r="D61" s="66" t="s">
        <v>99</v>
      </c>
      <c r="E61" s="76"/>
      <c r="F61" s="76"/>
      <c r="G61" s="67">
        <f>5.4*2.7</f>
        <v>14.580000000000002</v>
      </c>
      <c r="H61" s="66">
        <v>0</v>
      </c>
      <c r="I61" s="67"/>
      <c r="J61" s="74">
        <v>2</v>
      </c>
      <c r="K61" s="73">
        <f>0.8*1.5*2</f>
        <v>2.4000000000000004</v>
      </c>
      <c r="L61" s="50">
        <v>0</v>
      </c>
      <c r="M61" s="42"/>
      <c r="N61" s="5"/>
    </row>
    <row r="62" spans="2:15" x14ac:dyDescent="0.2">
      <c r="B62" s="10"/>
      <c r="C62" s="113" t="s">
        <v>40</v>
      </c>
      <c r="D62" s="66" t="s">
        <v>3</v>
      </c>
      <c r="E62" s="76"/>
      <c r="F62" s="76"/>
      <c r="G62" s="67">
        <f>5.4*(1.8+0.9+0.225)</f>
        <v>15.795000000000002</v>
      </c>
      <c r="H62" s="66">
        <v>0</v>
      </c>
      <c r="I62" s="67"/>
      <c r="J62" s="74">
        <v>3</v>
      </c>
      <c r="K62" s="73">
        <f>0.8*1.5*2</f>
        <v>2.4000000000000004</v>
      </c>
      <c r="L62" s="50">
        <f>1.8*2*1</f>
        <v>3.6</v>
      </c>
      <c r="M62" s="42"/>
      <c r="N62" s="5"/>
    </row>
    <row r="63" spans="2:15" x14ac:dyDescent="0.2">
      <c r="B63" s="10"/>
      <c r="C63" s="113" t="s">
        <v>7</v>
      </c>
      <c r="D63" s="65" t="s">
        <v>7</v>
      </c>
      <c r="E63" s="76"/>
      <c r="F63" s="76"/>
      <c r="G63" s="67">
        <f>2.425*1.5</f>
        <v>3.6374999999999997</v>
      </c>
      <c r="H63" s="66">
        <f>G63</f>
        <v>3.6374999999999997</v>
      </c>
      <c r="I63" s="73"/>
      <c r="J63" s="74">
        <v>1</v>
      </c>
      <c r="K63" s="73">
        <v>0</v>
      </c>
      <c r="L63" s="50">
        <v>0</v>
      </c>
      <c r="M63" s="42"/>
      <c r="N63" s="5"/>
    </row>
    <row r="64" spans="2:15" x14ac:dyDescent="0.2">
      <c r="B64" s="10"/>
      <c r="C64" s="113" t="s">
        <v>53</v>
      </c>
      <c r="D64" s="66" t="s">
        <v>5</v>
      </c>
      <c r="E64" s="76"/>
      <c r="F64" s="76"/>
      <c r="G64" s="67">
        <f>2.6*2*3.22</f>
        <v>16.744000000000003</v>
      </c>
      <c r="H64" s="66">
        <f>G64</f>
        <v>16.744000000000003</v>
      </c>
      <c r="I64" s="73"/>
      <c r="J64" s="74">
        <v>5</v>
      </c>
      <c r="K64" s="73">
        <f>0.82*5.6*4</f>
        <v>18.367999999999999</v>
      </c>
      <c r="L64" s="50">
        <v>0</v>
      </c>
      <c r="M64" s="42" t="s">
        <v>128</v>
      </c>
      <c r="N64" s="5"/>
    </row>
    <row r="65" spans="2:15" x14ac:dyDescent="0.2">
      <c r="B65" s="10"/>
      <c r="C65" s="113" t="s">
        <v>38</v>
      </c>
      <c r="D65" s="66" t="s">
        <v>99</v>
      </c>
      <c r="E65" s="76"/>
      <c r="F65" s="76"/>
      <c r="G65" s="67">
        <f>(5.4-0.225)*(1.8+2.2)</f>
        <v>20.700000000000003</v>
      </c>
      <c r="H65" s="66">
        <v>0</v>
      </c>
      <c r="I65" s="67"/>
      <c r="J65" s="74">
        <v>2</v>
      </c>
      <c r="K65" s="67">
        <v>0</v>
      </c>
      <c r="L65" s="50">
        <v>0</v>
      </c>
      <c r="M65" s="42"/>
      <c r="N65" s="5"/>
    </row>
    <row r="66" spans="2:15" x14ac:dyDescent="0.2">
      <c r="B66" s="10"/>
      <c r="C66" s="115" t="s">
        <v>39</v>
      </c>
      <c r="D66" s="66" t="s">
        <v>99</v>
      </c>
      <c r="E66" s="76"/>
      <c r="F66" s="76"/>
      <c r="G66" s="70">
        <f>2.425*1.5</f>
        <v>3.6374999999999997</v>
      </c>
      <c r="H66" s="66">
        <v>0</v>
      </c>
      <c r="I66" s="67"/>
      <c r="J66" s="74">
        <v>1</v>
      </c>
      <c r="K66" s="67">
        <v>0</v>
      </c>
      <c r="L66" s="50">
        <v>0</v>
      </c>
      <c r="M66" s="42"/>
      <c r="N66" s="5"/>
    </row>
    <row r="67" spans="2:15" x14ac:dyDescent="0.2">
      <c r="B67" s="10"/>
      <c r="C67" s="115" t="s">
        <v>102</v>
      </c>
      <c r="D67" s="66" t="s">
        <v>15</v>
      </c>
      <c r="E67" s="76"/>
      <c r="F67" s="76"/>
      <c r="G67" s="70">
        <f>(4-2.425)*3</f>
        <v>4.7250000000000005</v>
      </c>
      <c r="H67" s="66">
        <f>G67</f>
        <v>4.7250000000000005</v>
      </c>
      <c r="I67" s="73"/>
      <c r="J67" s="74"/>
      <c r="K67" s="73">
        <f>0.7*0.56+1.33*0.56</f>
        <v>1.1368</v>
      </c>
      <c r="L67" s="50">
        <v>0</v>
      </c>
      <c r="M67" s="42"/>
      <c r="N67" s="5"/>
    </row>
    <row r="68" spans="2:15" x14ac:dyDescent="0.2">
      <c r="B68" s="10"/>
      <c r="C68" s="113" t="s">
        <v>4</v>
      </c>
      <c r="D68" s="66" t="s">
        <v>4</v>
      </c>
      <c r="E68" s="76"/>
      <c r="F68" s="76"/>
      <c r="G68" s="70">
        <f>2.6*4+1.8*(0.2+5.4+5.4+5.4+5.4+5.4+5.4-0.225)+2.2*2+3.2+1.8</f>
        <v>78.075000000000003</v>
      </c>
      <c r="H68" s="66">
        <f>G68</f>
        <v>78.075000000000003</v>
      </c>
      <c r="I68" s="73"/>
      <c r="J68" s="74">
        <v>10</v>
      </c>
      <c r="K68" s="73"/>
      <c r="L68" s="50"/>
      <c r="M68" s="42"/>
      <c r="N68" s="5"/>
    </row>
    <row r="69" spans="2:15" x14ac:dyDescent="0.2">
      <c r="B69" s="10"/>
      <c r="C69" s="113" t="s">
        <v>74</v>
      </c>
      <c r="D69" s="66" t="s">
        <v>74</v>
      </c>
      <c r="E69" s="66"/>
      <c r="F69" s="66"/>
      <c r="G69" s="82">
        <f>1494.84-SUM(G31:G68)</f>
        <v>47.30724999999984</v>
      </c>
      <c r="H69" s="66">
        <v>0</v>
      </c>
      <c r="I69" s="73"/>
      <c r="J69" s="74"/>
      <c r="K69" s="73">
        <f>0.7*0.9*(2+2)</f>
        <v>2.52</v>
      </c>
      <c r="L69" s="50">
        <f>1.8*2*2</f>
        <v>7.2</v>
      </c>
      <c r="M69" s="42"/>
      <c r="N69" s="5"/>
      <c r="O69" s="90"/>
    </row>
    <row r="70" spans="2:15" x14ac:dyDescent="0.2">
      <c r="B70" s="10"/>
      <c r="C70" s="118"/>
      <c r="D70" s="66"/>
      <c r="E70" s="66"/>
      <c r="F70" s="66"/>
      <c r="G70" s="67"/>
      <c r="H70" s="66"/>
      <c r="I70" s="67"/>
      <c r="J70" s="67"/>
      <c r="K70" s="67"/>
      <c r="L70" s="35"/>
      <c r="M70" s="42"/>
      <c r="N70" s="5"/>
    </row>
    <row r="71" spans="2:15" ht="13.8" thickBot="1" x14ac:dyDescent="0.25">
      <c r="B71" s="12"/>
      <c r="C71" s="117" t="s">
        <v>71</v>
      </c>
      <c r="D71" s="94"/>
      <c r="E71" s="94"/>
      <c r="F71" s="94"/>
      <c r="G71" s="95">
        <f>SUM(G31:G69)</f>
        <v>1494.84</v>
      </c>
      <c r="H71" s="94">
        <f>SUM(H31:H69)</f>
        <v>1176.30125</v>
      </c>
      <c r="I71" s="94">
        <f t="shared" ref="I71" si="2">SUM(I31:I69)</f>
        <v>0</v>
      </c>
      <c r="J71" s="94">
        <f>SUM(J31:J69)</f>
        <v>201</v>
      </c>
      <c r="K71" s="94">
        <f>SUM(K31:K69)</f>
        <v>283.74879999999996</v>
      </c>
      <c r="L71" s="99">
        <f>SUM(L31:L69)</f>
        <v>226.7999999999999</v>
      </c>
      <c r="M71" s="98"/>
      <c r="N71" s="5"/>
    </row>
    <row r="72" spans="2:15" x14ac:dyDescent="0.2">
      <c r="B72" s="9" t="s">
        <v>124</v>
      </c>
      <c r="C72" s="122" t="s">
        <v>109</v>
      </c>
      <c r="D72" s="66" t="s">
        <v>115</v>
      </c>
      <c r="E72" s="83"/>
      <c r="F72" s="83"/>
      <c r="G72" s="84">
        <f>9*18+5.5*4.5+9*6.55</f>
        <v>245.7</v>
      </c>
      <c r="H72" s="66">
        <f>G72</f>
        <v>245.7</v>
      </c>
      <c r="I72" s="72"/>
      <c r="J72" s="72">
        <v>38</v>
      </c>
      <c r="K72" s="72">
        <f>0.9*0.9*(8+7.5+8+7+8+7.5+7+8+7.5+6.5)</f>
        <v>60.750000000000007</v>
      </c>
      <c r="L72" s="37">
        <f>1.8*2*10+0.9*2*2</f>
        <v>39.6</v>
      </c>
      <c r="M72" s="85"/>
      <c r="N72" s="5"/>
    </row>
    <row r="73" spans="2:15" x14ac:dyDescent="0.2">
      <c r="B73" s="10"/>
      <c r="C73" s="118" t="s">
        <v>108</v>
      </c>
      <c r="D73" s="66" t="s">
        <v>115</v>
      </c>
      <c r="E73" s="76"/>
      <c r="F73" s="76"/>
      <c r="G73" s="67">
        <f>(4.4+4.5+0.2)*(5.5+9)</f>
        <v>131.94999999999999</v>
      </c>
      <c r="H73" s="66">
        <f>G73</f>
        <v>131.94999999999999</v>
      </c>
      <c r="I73" s="67"/>
      <c r="J73" s="67">
        <v>19</v>
      </c>
      <c r="K73" s="67">
        <f>0.9*0.9*(7.5+6+7+7.5)</f>
        <v>22.68</v>
      </c>
      <c r="L73" s="35">
        <f>1.8*2*3.5+1.8*2*4</f>
        <v>27</v>
      </c>
      <c r="M73" s="42"/>
      <c r="N73" s="5"/>
    </row>
    <row r="74" spans="2:15" x14ac:dyDescent="0.2">
      <c r="B74" s="10"/>
      <c r="C74" s="118" t="s">
        <v>158</v>
      </c>
      <c r="D74" s="66" t="s">
        <v>115</v>
      </c>
      <c r="E74" s="76"/>
      <c r="F74" s="76"/>
      <c r="G74" s="67">
        <f>5.5*6.75</f>
        <v>37.125</v>
      </c>
      <c r="H74" s="66">
        <v>37.125</v>
      </c>
      <c r="I74" s="67"/>
      <c r="J74" s="67">
        <v>6</v>
      </c>
      <c r="K74" s="67">
        <f>0.9*0.9*7.5</f>
        <v>6.0750000000000002</v>
      </c>
      <c r="L74" s="35">
        <f>1.8*2+0.75*2</f>
        <v>5.0999999999999996</v>
      </c>
      <c r="M74" s="42"/>
      <c r="N74" s="5"/>
    </row>
    <row r="75" spans="2:15" x14ac:dyDescent="0.2">
      <c r="B75" s="10"/>
      <c r="C75" s="118" t="s">
        <v>153</v>
      </c>
      <c r="D75" s="66" t="s">
        <v>115</v>
      </c>
      <c r="E75" s="76"/>
      <c r="F75" s="76"/>
      <c r="G75" s="67">
        <f>(4.5+4.5)*(4.5+4.5)-2.25*2.25</f>
        <v>75.9375</v>
      </c>
      <c r="H75" s="66">
        <f t="shared" ref="H75:H85" si="3">G75</f>
        <v>75.9375</v>
      </c>
      <c r="I75" s="67"/>
      <c r="J75" s="67">
        <v>9</v>
      </c>
      <c r="K75" s="67">
        <f>0.9*0.9*(8+8+8+7.5)</f>
        <v>25.515000000000001</v>
      </c>
      <c r="L75" s="35">
        <f>1.8*2*6</f>
        <v>21.6</v>
      </c>
      <c r="M75" s="42"/>
      <c r="N75" s="5"/>
    </row>
    <row r="76" spans="2:15" x14ac:dyDescent="0.2">
      <c r="B76" s="10"/>
      <c r="C76" s="118" t="s">
        <v>17</v>
      </c>
      <c r="D76" s="66" t="s">
        <v>3</v>
      </c>
      <c r="E76" s="76"/>
      <c r="F76" s="76"/>
      <c r="G76" s="67">
        <f>4.5*6.75</f>
        <v>30.375</v>
      </c>
      <c r="H76" s="66">
        <f t="shared" si="3"/>
        <v>30.375</v>
      </c>
      <c r="I76" s="67"/>
      <c r="J76" s="67">
        <v>3</v>
      </c>
      <c r="K76" s="67">
        <f>0.9*0.9*7</f>
        <v>5.67</v>
      </c>
      <c r="L76" s="35">
        <f>1.8*2*2</f>
        <v>7.2</v>
      </c>
      <c r="M76" s="42"/>
      <c r="N76" s="5"/>
    </row>
    <row r="77" spans="2:15" x14ac:dyDescent="0.2">
      <c r="B77" s="10"/>
      <c r="C77" s="118" t="s">
        <v>18</v>
      </c>
      <c r="D77" s="66" t="s">
        <v>3</v>
      </c>
      <c r="E77" s="76"/>
      <c r="F77" s="76"/>
      <c r="G77" s="67">
        <f>4.5*6.75</f>
        <v>30.375</v>
      </c>
      <c r="H77" s="66">
        <f t="shared" si="3"/>
        <v>30.375</v>
      </c>
      <c r="I77" s="67"/>
      <c r="J77" s="67">
        <v>3</v>
      </c>
      <c r="K77" s="67">
        <f>0.9*0.9*7</f>
        <v>5.67</v>
      </c>
      <c r="L77" s="35">
        <f>1.8*2*2</f>
        <v>7.2</v>
      </c>
      <c r="M77" s="42"/>
      <c r="N77" s="5"/>
    </row>
    <row r="78" spans="2:15" x14ac:dyDescent="0.2">
      <c r="B78" s="10"/>
      <c r="C78" s="118" t="s">
        <v>19</v>
      </c>
      <c r="D78" s="66" t="s">
        <v>3</v>
      </c>
      <c r="E78" s="76"/>
      <c r="F78" s="76"/>
      <c r="G78" s="67">
        <f>4.5*6.75</f>
        <v>30.375</v>
      </c>
      <c r="H78" s="66">
        <f t="shared" si="3"/>
        <v>30.375</v>
      </c>
      <c r="I78" s="67"/>
      <c r="J78" s="67">
        <v>3</v>
      </c>
      <c r="K78" s="67">
        <f>0.9*0.9*7</f>
        <v>5.67</v>
      </c>
      <c r="L78" s="35">
        <f>1.8*2*2</f>
        <v>7.2</v>
      </c>
      <c r="M78" s="42"/>
      <c r="N78" s="5"/>
    </row>
    <row r="79" spans="2:15" x14ac:dyDescent="0.2">
      <c r="B79" s="10"/>
      <c r="C79" s="134" t="s">
        <v>20</v>
      </c>
      <c r="D79" s="108" t="s">
        <v>99</v>
      </c>
      <c r="E79" s="131"/>
      <c r="F79" s="131"/>
      <c r="G79" s="91">
        <f>4.5*6.75</f>
        <v>30.375</v>
      </c>
      <c r="H79" s="108">
        <f t="shared" si="3"/>
        <v>30.375</v>
      </c>
      <c r="I79" s="91"/>
      <c r="J79" s="91">
        <v>3.5</v>
      </c>
      <c r="K79" s="91">
        <f>0.9*0.9*7</f>
        <v>5.67</v>
      </c>
      <c r="L79" s="91">
        <f>1.8*2</f>
        <v>3.6</v>
      </c>
      <c r="M79" s="109"/>
      <c r="N79" s="5"/>
    </row>
    <row r="80" spans="2:15" x14ac:dyDescent="0.2">
      <c r="B80" s="10"/>
      <c r="C80" s="134" t="s">
        <v>21</v>
      </c>
      <c r="D80" s="108" t="s">
        <v>99</v>
      </c>
      <c r="E80" s="131"/>
      <c r="F80" s="131"/>
      <c r="G80" s="91">
        <f>4.7*6.75</f>
        <v>31.725000000000001</v>
      </c>
      <c r="H80" s="108">
        <f t="shared" si="3"/>
        <v>31.725000000000001</v>
      </c>
      <c r="I80" s="91"/>
      <c r="J80" s="91">
        <v>3.5</v>
      </c>
      <c r="K80" s="91">
        <f>0.9*0.9*8</f>
        <v>6.48</v>
      </c>
      <c r="L80" s="91">
        <f>1.8*2*2</f>
        <v>7.2</v>
      </c>
      <c r="M80" s="109"/>
      <c r="N80" s="5"/>
    </row>
    <row r="81" spans="2:17" x14ac:dyDescent="0.2">
      <c r="B81" s="10"/>
      <c r="C81" s="118" t="s">
        <v>144</v>
      </c>
      <c r="D81" s="66" t="s">
        <v>5</v>
      </c>
      <c r="E81" s="76"/>
      <c r="F81" s="76"/>
      <c r="G81" s="67">
        <f>4.675*5.7</f>
        <v>26.647500000000001</v>
      </c>
      <c r="H81" s="66">
        <f t="shared" si="3"/>
        <v>26.647500000000001</v>
      </c>
      <c r="I81" s="73"/>
      <c r="J81" s="74">
        <v>6</v>
      </c>
      <c r="K81" s="68">
        <f>0.9*0.7*2+0.9*0.4*2</f>
        <v>1.98</v>
      </c>
      <c r="L81" s="50">
        <v>0</v>
      </c>
      <c r="M81" s="42" t="s">
        <v>127</v>
      </c>
      <c r="N81" s="5"/>
    </row>
    <row r="82" spans="2:17" x14ac:dyDescent="0.2">
      <c r="B82" s="10"/>
      <c r="C82" s="118" t="s">
        <v>79</v>
      </c>
      <c r="D82" s="66" t="s">
        <v>5</v>
      </c>
      <c r="E82" s="76"/>
      <c r="F82" s="76"/>
      <c r="G82" s="67">
        <f>2.35*2.25</f>
        <v>5.2875000000000005</v>
      </c>
      <c r="H82" s="66">
        <f t="shared" si="3"/>
        <v>5.2875000000000005</v>
      </c>
      <c r="I82" s="73"/>
      <c r="J82" s="74">
        <v>2</v>
      </c>
      <c r="K82" s="68">
        <f>0.9*0.9*2</f>
        <v>1.62</v>
      </c>
      <c r="L82" s="50">
        <v>0</v>
      </c>
      <c r="M82" s="42"/>
      <c r="N82" s="5"/>
    </row>
    <row r="83" spans="2:17" x14ac:dyDescent="0.2">
      <c r="B83" s="10"/>
      <c r="C83" s="118" t="s">
        <v>76</v>
      </c>
      <c r="D83" s="66" t="s">
        <v>15</v>
      </c>
      <c r="E83" s="76">
        <v>5.7</v>
      </c>
      <c r="F83" s="76">
        <v>4.1500000000000004</v>
      </c>
      <c r="G83" s="67">
        <f>4.15*5.7</f>
        <v>23.655000000000001</v>
      </c>
      <c r="H83" s="66">
        <f t="shared" si="3"/>
        <v>23.655000000000001</v>
      </c>
      <c r="I83" s="73"/>
      <c r="J83" s="74">
        <v>0</v>
      </c>
      <c r="K83" s="68">
        <f>0.9*0.9*12</f>
        <v>9.7200000000000006</v>
      </c>
      <c r="L83" s="50">
        <v>0</v>
      </c>
      <c r="M83" s="42"/>
      <c r="N83" s="5"/>
    </row>
    <row r="84" spans="2:17" x14ac:dyDescent="0.2">
      <c r="B84" s="10"/>
      <c r="C84" s="118" t="s">
        <v>100</v>
      </c>
      <c r="D84" s="66" t="s">
        <v>15</v>
      </c>
      <c r="E84" s="76"/>
      <c r="F84" s="76"/>
      <c r="G84" s="67">
        <f>3.3*6.75</f>
        <v>22.274999999999999</v>
      </c>
      <c r="H84" s="66">
        <f t="shared" si="3"/>
        <v>22.274999999999999</v>
      </c>
      <c r="I84" s="73"/>
      <c r="J84" s="74"/>
      <c r="K84" s="68">
        <f>0.9*0.9*12</f>
        <v>9.7200000000000006</v>
      </c>
      <c r="L84" s="50">
        <v>0</v>
      </c>
      <c r="M84" s="42"/>
      <c r="N84" s="5"/>
    </row>
    <row r="85" spans="2:17" x14ac:dyDescent="0.2">
      <c r="B85" s="10"/>
      <c r="C85" s="118" t="s">
        <v>4</v>
      </c>
      <c r="D85" s="66" t="s">
        <v>4</v>
      </c>
      <c r="E85" s="76"/>
      <c r="F85" s="76"/>
      <c r="G85" s="67">
        <f>(4.675+4.15)*2.25+2.25*(11.15+4.5+4.5+3.5+5.5+2.25)</f>
        <v>90.506249999999994</v>
      </c>
      <c r="H85" s="66">
        <f t="shared" si="3"/>
        <v>90.506249999999994</v>
      </c>
      <c r="I85" s="73"/>
      <c r="J85" s="74">
        <v>9</v>
      </c>
      <c r="K85" s="68">
        <f>0.9*0.9*(2+4+4+4+4)</f>
        <v>14.580000000000002</v>
      </c>
      <c r="L85" s="50">
        <v>0</v>
      </c>
      <c r="M85" s="100"/>
      <c r="N85" s="5"/>
    </row>
    <row r="86" spans="2:17" x14ac:dyDescent="0.2">
      <c r="B86" s="10"/>
      <c r="C86" s="134" t="s">
        <v>74</v>
      </c>
      <c r="D86" s="108" t="s">
        <v>99</v>
      </c>
      <c r="E86" s="131"/>
      <c r="F86" s="131"/>
      <c r="G86" s="135">
        <f>822.97-SUM(G72:G85)</f>
        <v>10.661249999999995</v>
      </c>
      <c r="H86" s="108">
        <v>0</v>
      </c>
      <c r="I86" s="132"/>
      <c r="J86" s="129"/>
      <c r="K86" s="136"/>
      <c r="L86" s="129"/>
      <c r="M86" s="109"/>
      <c r="N86" s="5"/>
      <c r="O86" s="90"/>
    </row>
    <row r="87" spans="2:17" x14ac:dyDescent="0.2">
      <c r="B87" s="10"/>
      <c r="C87" s="123"/>
      <c r="D87" s="101"/>
      <c r="E87" s="102"/>
      <c r="F87" s="102"/>
      <c r="G87" s="35"/>
      <c r="H87" s="101"/>
      <c r="I87" s="35"/>
      <c r="J87" s="35"/>
      <c r="K87" s="35"/>
      <c r="L87" s="35"/>
      <c r="M87" s="42"/>
      <c r="N87" s="5"/>
    </row>
    <row r="88" spans="2:17" ht="13.8" thickBot="1" x14ac:dyDescent="0.25">
      <c r="B88" s="10"/>
      <c r="C88" s="124" t="s">
        <v>71</v>
      </c>
      <c r="D88" s="101"/>
      <c r="E88" s="103"/>
      <c r="F88" s="103"/>
      <c r="G88" s="104">
        <f>SUM(G72:G85)</f>
        <v>812.30875000000003</v>
      </c>
      <c r="H88" s="105">
        <f>SUM(H72:H85)</f>
        <v>812.30875000000003</v>
      </c>
      <c r="I88" s="105">
        <f t="shared" ref="I88" si="4">SUM(I72:I85)</f>
        <v>0</v>
      </c>
      <c r="J88" s="105">
        <f>SUM(J72:J85)</f>
        <v>105</v>
      </c>
      <c r="K88" s="105">
        <f>SUM(K72:K85)</f>
        <v>181.79999999999998</v>
      </c>
      <c r="L88" s="105">
        <f>SUM(L72:L85)</f>
        <v>125.69999999999999</v>
      </c>
      <c r="M88" s="106"/>
      <c r="N88" s="19"/>
    </row>
    <row r="89" spans="2:17" ht="13.8" thickBot="1" x14ac:dyDescent="0.25">
      <c r="B89" s="7" t="s">
        <v>70</v>
      </c>
      <c r="C89" s="125"/>
      <c r="D89" s="8"/>
      <c r="E89" s="8"/>
      <c r="F89" s="8"/>
      <c r="G89" s="17">
        <f t="shared" ref="G89:L89" si="5">G88+G71+G30</f>
        <v>3755.8387499999999</v>
      </c>
      <c r="H89" s="13">
        <f t="shared" si="5"/>
        <v>2812.681</v>
      </c>
      <c r="I89" s="13">
        <f t="shared" si="5"/>
        <v>332.54999999999995</v>
      </c>
      <c r="J89" s="13">
        <f t="shared" si="5"/>
        <v>465</v>
      </c>
      <c r="K89" s="13">
        <f t="shared" si="5"/>
        <v>640.29679999999996</v>
      </c>
      <c r="L89" s="13">
        <f t="shared" si="5"/>
        <v>482.49999999999989</v>
      </c>
      <c r="M89" s="38"/>
      <c r="N89" s="6"/>
    </row>
    <row r="90" spans="2:17" x14ac:dyDescent="0.2">
      <c r="B90" s="9" t="s">
        <v>80</v>
      </c>
      <c r="C90" s="126" t="s">
        <v>68</v>
      </c>
      <c r="D90" s="86" t="s">
        <v>99</v>
      </c>
      <c r="E90" s="86"/>
      <c r="F90" s="86"/>
      <c r="G90" s="87">
        <v>345.88</v>
      </c>
      <c r="H90" s="20"/>
      <c r="I90" s="39"/>
      <c r="J90" s="39">
        <v>52</v>
      </c>
      <c r="K90" s="39">
        <f>0.85*0.95*30+0.8*1.24</f>
        <v>25.217000000000002</v>
      </c>
      <c r="L90" s="39"/>
      <c r="M90" s="22"/>
      <c r="N90" s="19"/>
    </row>
    <row r="91" spans="2:17" ht="13.8" thickBot="1" x14ac:dyDescent="0.25">
      <c r="B91" s="12"/>
      <c r="C91" s="127" t="s">
        <v>50</v>
      </c>
      <c r="D91" s="88" t="s">
        <v>99</v>
      </c>
      <c r="E91" s="88"/>
      <c r="F91" s="88"/>
      <c r="G91" s="89">
        <v>38.880000000000003</v>
      </c>
      <c r="H91" s="21"/>
      <c r="I91" s="40"/>
      <c r="J91" s="40">
        <v>12</v>
      </c>
      <c r="K91" s="40">
        <f>0.8*1.2*12</f>
        <v>11.52</v>
      </c>
      <c r="L91" s="40"/>
      <c r="M91" s="23"/>
      <c r="N91" s="19"/>
    </row>
    <row r="92" spans="2:17" ht="13.8" thickBot="1" x14ac:dyDescent="0.25">
      <c r="B92" s="5"/>
      <c r="C92" s="128"/>
      <c r="D92" s="57"/>
      <c r="E92" s="5"/>
      <c r="F92" s="5"/>
      <c r="G92" s="58"/>
      <c r="H92" s="19"/>
      <c r="I92" s="19"/>
      <c r="J92" s="19"/>
      <c r="K92" s="19"/>
      <c r="L92" s="19"/>
      <c r="M92" s="19"/>
      <c r="N92" s="19"/>
    </row>
    <row r="93" spans="2:17" x14ac:dyDescent="0.2">
      <c r="D93" s="30"/>
      <c r="E93" s="25"/>
      <c r="F93" s="25"/>
      <c r="G93" s="140" t="s">
        <v>164</v>
      </c>
      <c r="H93" s="141" t="s">
        <v>165</v>
      </c>
      <c r="I93" s="142" t="s">
        <v>166</v>
      </c>
      <c r="J93" s="143" t="s">
        <v>169</v>
      </c>
      <c r="K93" s="144" t="s">
        <v>167</v>
      </c>
      <c r="L93" s="145" t="s">
        <v>168</v>
      </c>
    </row>
    <row r="94" spans="2:17" x14ac:dyDescent="0.2">
      <c r="D94" s="31" t="s">
        <v>2</v>
      </c>
      <c r="E94" s="1"/>
      <c r="F94" s="1"/>
      <c r="G94" s="1">
        <f>DSUM($B$2:$M$88,$G2,P94:P95)</f>
        <v>49.457499999999996</v>
      </c>
      <c r="H94" s="1">
        <f>DSUM($B$2:$M$88,$H2,P94:P95)</f>
        <v>0</v>
      </c>
      <c r="I94" s="1">
        <f>DSUM($B$2:$M$88,$I2,P94:P95)</f>
        <v>0</v>
      </c>
      <c r="J94" s="137">
        <f>DSUM($B$2:$M$88,$J$2,$P$94:$P$95)</f>
        <v>3</v>
      </c>
      <c r="K94" s="137">
        <f>DSUM($B$2:$M$88,$K$2,$P$94:$P$95)</f>
        <v>14</v>
      </c>
      <c r="L94" s="138">
        <f>DSUM($B$2:$M$88,$L$2,$P$94:$P$95)</f>
        <v>0</v>
      </c>
      <c r="P94" s="146" t="s">
        <v>49</v>
      </c>
      <c r="Q94" s="146" t="s">
        <v>49</v>
      </c>
    </row>
    <row r="95" spans="2:17" x14ac:dyDescent="0.2">
      <c r="D95" s="31" t="s">
        <v>115</v>
      </c>
      <c r="E95" s="1"/>
      <c r="F95" s="1"/>
      <c r="G95" s="54">
        <f>DSUM($B$2:$M$88,$G$2,P96:P97)</f>
        <v>1835.4874999999997</v>
      </c>
      <c r="H95" s="54">
        <f>DSUM($B$2:$M$88,$H$2,P96:P97)</f>
        <v>1814.9675</v>
      </c>
      <c r="I95" s="54">
        <f>DSUM($B$2:$M$88,$I$2,P96:P97)</f>
        <v>332.54999999999995</v>
      </c>
      <c r="J95" s="1">
        <f>DSUM($B$2:$M$88,J$2,$P$96:$P$97)</f>
        <v>273</v>
      </c>
      <c r="K95" s="1">
        <f>DSUM($B$2:$M$88,K$2,$P$96:$P$97)</f>
        <v>397.85400000000004</v>
      </c>
      <c r="L95" s="11">
        <f>DSUM($B$2:$M$88,L$2,$P$96:$P$97)</f>
        <v>352.9</v>
      </c>
      <c r="P95" s="146" t="s">
        <v>2</v>
      </c>
      <c r="Q95" s="146" t="s">
        <v>7</v>
      </c>
    </row>
    <row r="96" spans="2:17" x14ac:dyDescent="0.2">
      <c r="D96" s="31" t="s">
        <v>3</v>
      </c>
      <c r="E96" s="1"/>
      <c r="F96" s="1"/>
      <c r="G96" s="107">
        <f>DSUM($B$2:$M$88,$G$2,P104:P105)</f>
        <v>358.76800000000003</v>
      </c>
      <c r="H96" s="26">
        <f>DSUM($B$2:$M$88,$H$2,P104:P105)+H90+H91</f>
        <v>325.23500000000001</v>
      </c>
      <c r="I96" s="26">
        <f>DSUM($B$2:$M$88,$I$2,P104:P105)+I90+I91</f>
        <v>0</v>
      </c>
      <c r="J96" s="1">
        <f>DSUM($B$2:$M$88,J$2,$P$104:$P$105)</f>
        <v>55</v>
      </c>
      <c r="K96" s="1">
        <f>DSUM($B$2:$M$88,K$2,$P$104:$P$105)</f>
        <v>57.810000000000009</v>
      </c>
      <c r="L96" s="11">
        <f>DSUM($B$2:$M$88,L$2,$P$104:$P$105)</f>
        <v>72.000000000000014</v>
      </c>
      <c r="P96" s="146" t="s">
        <v>49</v>
      </c>
      <c r="Q96" s="146" t="s">
        <v>49</v>
      </c>
    </row>
    <row r="97" spans="4:17" x14ac:dyDescent="0.2">
      <c r="D97" s="32" t="s">
        <v>98</v>
      </c>
      <c r="E97" s="1"/>
      <c r="F97" s="1"/>
      <c r="G97" s="1">
        <f>DSUM($B$2:$M$88,$G$2,Q104:Q105)</f>
        <v>31.930000000000003</v>
      </c>
      <c r="H97" s="1">
        <f>DSUM($B$2:$M$88,$H$2,Q104:Q105)</f>
        <v>0</v>
      </c>
      <c r="I97" s="1">
        <f>DSUM($B$2:$M$88,$I$2,Q104:Q105)</f>
        <v>0</v>
      </c>
      <c r="J97" s="1">
        <f>DSUM($B$2:$M$88,J$2,$Q$104:$Q$105)</f>
        <v>6</v>
      </c>
      <c r="K97" s="1">
        <f>DSUM($B$2:$M$88,K$2,$Q$104:$Q$105)</f>
        <v>6.12</v>
      </c>
      <c r="L97" s="11">
        <f>DSUM($B$2:$M$88,L$2,$Q$104:$Q$105)</f>
        <v>7.2</v>
      </c>
      <c r="P97" s="146" t="s">
        <v>115</v>
      </c>
      <c r="Q97" s="146" t="s">
        <v>15</v>
      </c>
    </row>
    <row r="98" spans="4:17" x14ac:dyDescent="0.2">
      <c r="D98" s="31" t="s">
        <v>4</v>
      </c>
      <c r="E98" s="1"/>
      <c r="F98" s="1"/>
      <c r="G98" s="1">
        <f>DSUM($B$2:$M$88,$G$2,P100:P101)</f>
        <v>339.12475000000006</v>
      </c>
      <c r="H98" s="1">
        <f>DSUM($B$2:$M$88,$H$2,P100:P101)</f>
        <v>339.12475000000006</v>
      </c>
      <c r="I98" s="1">
        <f>DSUM($B$2:$M$88,$I$2,P100:P101)</f>
        <v>0</v>
      </c>
      <c r="J98" s="1">
        <f>DSUM($B$2:$M$88,$J$2,$P$100:$P$101)</f>
        <v>28</v>
      </c>
      <c r="K98" s="1">
        <f>DSUM($B$2:$M$88,K$2,$P$100:$P$101)</f>
        <v>14.580000000000002</v>
      </c>
      <c r="L98" s="11">
        <f>DSUM($B$2:$M$88,L$2,$P$100:$P$101)</f>
        <v>0</v>
      </c>
      <c r="P98" s="146" t="s">
        <v>49</v>
      </c>
      <c r="Q98" s="146" t="s">
        <v>49</v>
      </c>
    </row>
    <row r="99" spans="4:17" x14ac:dyDescent="0.2">
      <c r="D99" s="31" t="s">
        <v>5</v>
      </c>
      <c r="E99" s="1"/>
      <c r="F99" s="1"/>
      <c r="G99" s="1">
        <f>DSUM($B$2:$M$88,$G$2,P102:P103)</f>
        <v>107.68025</v>
      </c>
      <c r="H99" s="1">
        <f>DSUM($B$2:$M$88,$H$2,P102:P103)</f>
        <v>107.68025</v>
      </c>
      <c r="I99" s="1">
        <f>DSUM($B$2:$M$88,$I$2,P102:P103)</f>
        <v>0</v>
      </c>
      <c r="J99" s="1">
        <f>DSUM($B$2:$M$88,$J$2,$P$102:$P$103)</f>
        <v>26</v>
      </c>
      <c r="K99" s="1">
        <f>DSUM($B$2:$M$88,K$2,$P$102:$P$103)</f>
        <v>26.143999999999998</v>
      </c>
      <c r="L99" s="11">
        <f>DSUM($B$2:$M$88,L$2,$P$102:$P$103)</f>
        <v>0</v>
      </c>
      <c r="P99" s="146"/>
      <c r="Q99" s="146" t="s">
        <v>55</v>
      </c>
    </row>
    <row r="100" spans="4:17" x14ac:dyDescent="0.2">
      <c r="D100" s="31" t="s">
        <v>7</v>
      </c>
      <c r="E100" s="1"/>
      <c r="F100" s="1"/>
      <c r="G100" s="1">
        <f>DSUM($B$2:$M$88,$G$2,Q94:Q95)</f>
        <v>24.613499999999998</v>
      </c>
      <c r="H100" s="1">
        <f>DSUM($B$2:$M$88,$H$2,Q94:Q95)</f>
        <v>24.613499999999998</v>
      </c>
      <c r="I100" s="1">
        <f>DSUM($B$2:$M$88,$I$2,Q94:Q95)</f>
        <v>0</v>
      </c>
      <c r="J100" s="1">
        <f>DSUM($B$2:$M$88,$J$2,$Q$94:$Q$95)</f>
        <v>5</v>
      </c>
      <c r="K100" s="1">
        <f>DSUM($B$2:$M$88,K$2,$Q$94:$Q$95)</f>
        <v>2.4359999999999999</v>
      </c>
      <c r="L100" s="11">
        <f>DSUM($B$2:$M$88,L$2,$Q$94:$Q$95)</f>
        <v>0</v>
      </c>
      <c r="P100" s="146" t="s">
        <v>49</v>
      </c>
      <c r="Q100" s="146" t="s">
        <v>49</v>
      </c>
    </row>
    <row r="101" spans="4:17" x14ac:dyDescent="0.2">
      <c r="D101" s="31" t="s">
        <v>15</v>
      </c>
      <c r="E101" s="1"/>
      <c r="F101" s="1"/>
      <c r="G101" s="1">
        <f>DSUM($B$2:$M$88,$G$2,Q96:Q97)</f>
        <v>97.965000000000003</v>
      </c>
      <c r="H101" s="1">
        <f>DSUM($B$2:$M$88,$H$2,Q96:Q97)</f>
        <v>97.965000000000003</v>
      </c>
      <c r="I101" s="1">
        <f>DSUM($B$2:$M$88,$I$2,Q96:Q97)</f>
        <v>0</v>
      </c>
      <c r="J101" s="1">
        <f>DSUM($B$2:$M$88,$J$2,$Q$96:$Q$97)</f>
        <v>0</v>
      </c>
      <c r="K101" s="1">
        <f>DSUM($B$2:$M$88,K$2,$Q$96:$Q$97)</f>
        <v>40.016800000000003</v>
      </c>
      <c r="L101" s="11">
        <f>DSUM($B$2:$M$88,L$2,$Q$96:$Q$97)</f>
        <v>0</v>
      </c>
      <c r="P101" s="146" t="s">
        <v>4</v>
      </c>
      <c r="Q101" s="146" t="s">
        <v>6</v>
      </c>
    </row>
    <row r="102" spans="4:17" x14ac:dyDescent="0.2">
      <c r="D102" s="31" t="s">
        <v>55</v>
      </c>
      <c r="E102" s="1"/>
      <c r="F102" s="1"/>
      <c r="G102" s="1">
        <f>DSUM($B$2:$M$88,$G$2,Q98:Q99)</f>
        <v>7.032</v>
      </c>
      <c r="H102" s="1">
        <f>DSUM($B$2:$M$88,$H$2,Q98:Q99)</f>
        <v>0</v>
      </c>
      <c r="I102" s="1">
        <f>DSUM($B$2:$M$88,$I$2,Q98:Q99)</f>
        <v>0</v>
      </c>
      <c r="J102" s="1">
        <f>DSUM($B$2:$M$88,$J$2,$Q$98:$Q$99)</f>
        <v>3</v>
      </c>
      <c r="K102" s="1">
        <f>DSUM($B$2:$M$88,K$2,$Q$98:$Q$99)</f>
        <v>0</v>
      </c>
      <c r="L102" s="11">
        <f>DSUM($B$2:$M$88,L$2,$Q$98:$Q$99)</f>
        <v>0</v>
      </c>
      <c r="P102" s="146" t="s">
        <v>49</v>
      </c>
      <c r="Q102" s="146" t="s">
        <v>49</v>
      </c>
    </row>
    <row r="103" spans="4:17" x14ac:dyDescent="0.2">
      <c r="D103" s="32" t="s">
        <v>172</v>
      </c>
      <c r="E103" s="1"/>
      <c r="F103" s="1"/>
      <c r="G103" s="1">
        <v>4.3</v>
      </c>
      <c r="H103" s="1">
        <f>DSUM($B$2:$M$88,$H$2,Q100:Q101)</f>
        <v>0</v>
      </c>
      <c r="I103" s="1">
        <f>DSUM($B$2:$M$88,$I$2,Q100:Q101)</f>
        <v>0</v>
      </c>
      <c r="J103" s="1">
        <f>DSUM($B$2:$M$88,$J$2,$Q$100:$Q$101)</f>
        <v>0</v>
      </c>
      <c r="K103" s="1">
        <f>DSUM($B$2:$M$88,K$2,$Q$100:$Q$101)</f>
        <v>0</v>
      </c>
      <c r="L103" s="11">
        <f>DSUM($B$2:$M$88,L$2,$Q$100:$Q$101)</f>
        <v>0</v>
      </c>
      <c r="P103" s="146" t="s">
        <v>5</v>
      </c>
      <c r="Q103" s="146" t="s">
        <v>74</v>
      </c>
    </row>
    <row r="104" spans="4:17" x14ac:dyDescent="0.2">
      <c r="D104" s="31" t="s">
        <v>16</v>
      </c>
      <c r="E104" s="1"/>
      <c r="F104" s="1"/>
      <c r="G104" s="1">
        <f>DSUM($B$2:$M$88,$G$2,P106:P107)</f>
        <v>406.96000000000004</v>
      </c>
      <c r="H104" s="1">
        <f>DSUM($B$2:$M$88,$H$2,P106:P107)</f>
        <v>0</v>
      </c>
      <c r="I104" s="1">
        <f>DSUM($B$2:$M$88,$I$2,P106:P107)</f>
        <v>0</v>
      </c>
      <c r="J104" s="1">
        <f>DSUM($B$2:$M$88,$J$2,$P$106:$P$107)</f>
        <v>14</v>
      </c>
      <c r="K104" s="1">
        <f>DSUM($B$2:$M$88,K$2,$P$106:$P$107)</f>
        <v>7.8539999999999992</v>
      </c>
      <c r="L104" s="11">
        <f>DSUM($B$2:$M$88,L$2,$P$106:$P$107)</f>
        <v>0</v>
      </c>
      <c r="P104" s="146" t="s">
        <v>49</v>
      </c>
      <c r="Q104" s="146" t="s">
        <v>49</v>
      </c>
    </row>
    <row r="105" spans="4:17" x14ac:dyDescent="0.2">
      <c r="D105" s="31" t="s">
        <v>74</v>
      </c>
      <c r="E105" s="1"/>
      <c r="F105" s="1"/>
      <c r="G105" s="1">
        <f>DSUM($B$2:$M$88,$G$2,Q102:Q103)</f>
        <v>63.776250000000118</v>
      </c>
      <c r="H105" s="1">
        <f>DSUM($B$2:$M$88,$H$2,Q102:Q103)</f>
        <v>0</v>
      </c>
      <c r="I105" s="1">
        <f>DSUM($B$2:$M$88,$I$2,Q102:Q103)</f>
        <v>0</v>
      </c>
      <c r="J105" s="1">
        <f>DSUM($B$2:$M$88,$J$2,$Q$102:$Q$103)</f>
        <v>0</v>
      </c>
      <c r="K105" s="1">
        <f>DSUM($B$2:$M$88,K$2,$Q$102:$Q$103)</f>
        <v>3.44</v>
      </c>
      <c r="L105" s="11">
        <f>DSUM($B$2:$M$88,L$2,$Q$102:$Q$103)</f>
        <v>7.2</v>
      </c>
      <c r="P105" s="146" t="s">
        <v>3</v>
      </c>
      <c r="Q105" s="146" t="s">
        <v>82</v>
      </c>
    </row>
    <row r="106" spans="4:17" ht="13.8" thickBot="1" x14ac:dyDescent="0.25">
      <c r="D106" s="33" t="s">
        <v>99</v>
      </c>
      <c r="E106" s="27"/>
      <c r="F106" s="27"/>
      <c r="G106" s="27">
        <f>DSUM($B$2:$M$91,G$2,$Q$106:$Q$107)</f>
        <v>828.46524999999997</v>
      </c>
      <c r="H106" s="27">
        <f t="shared" ref="H106:L106" si="6">DSUM($B$2:$M$91,H$2,$Q$106:$Q$107)</f>
        <v>103.095</v>
      </c>
      <c r="I106" s="27">
        <f t="shared" si="6"/>
        <v>0</v>
      </c>
      <c r="J106" s="27">
        <f t="shared" si="6"/>
        <v>116</v>
      </c>
      <c r="K106" s="27">
        <f t="shared" si="6"/>
        <v>106.779</v>
      </c>
      <c r="L106" s="28">
        <f t="shared" si="6"/>
        <v>43.20000000000001</v>
      </c>
      <c r="P106" s="146" t="s">
        <v>49</v>
      </c>
      <c r="Q106" s="146" t="s">
        <v>49</v>
      </c>
    </row>
    <row r="107" spans="4:17" ht="14.4" thickTop="1" thickBot="1" x14ac:dyDescent="0.25">
      <c r="D107" s="34" t="s">
        <v>0</v>
      </c>
      <c r="E107" s="29"/>
      <c r="F107" s="29"/>
      <c r="G107" s="29">
        <f t="shared" ref="G107:L107" si="7">SUM(G94:G106)</f>
        <v>4155.5600000000004</v>
      </c>
      <c r="H107" s="29">
        <f t="shared" si="7"/>
        <v>2812.6809999999996</v>
      </c>
      <c r="I107" s="41">
        <f t="shared" si="7"/>
        <v>332.54999999999995</v>
      </c>
      <c r="J107" s="41">
        <f t="shared" si="7"/>
        <v>529</v>
      </c>
      <c r="K107" s="41">
        <f t="shared" si="7"/>
        <v>677.03380000000016</v>
      </c>
      <c r="L107" s="139">
        <f t="shared" si="7"/>
        <v>482.49999999999994</v>
      </c>
      <c r="P107" s="146" t="s">
        <v>16</v>
      </c>
      <c r="Q107" s="146" t="s">
        <v>99</v>
      </c>
    </row>
    <row r="109" spans="4:17" x14ac:dyDescent="0.2">
      <c r="D109" s="24"/>
    </row>
    <row r="110" spans="4:17" x14ac:dyDescent="0.2">
      <c r="D110" s="24"/>
    </row>
    <row r="111" spans="4:17" x14ac:dyDescent="0.2">
      <c r="G111" s="3"/>
    </row>
    <row r="112" spans="4:17" x14ac:dyDescent="0.2">
      <c r="G112" s="3"/>
    </row>
    <row r="113" spans="7:7" x14ac:dyDescent="0.2">
      <c r="G113" s="3"/>
    </row>
    <row r="114" spans="7:7" x14ac:dyDescent="0.2">
      <c r="G114" s="3"/>
    </row>
    <row r="115" spans="7:7" x14ac:dyDescent="0.2">
      <c r="G115" s="3"/>
    </row>
    <row r="116" spans="7:7" x14ac:dyDescent="0.2">
      <c r="G116" s="3"/>
    </row>
    <row r="117" spans="7:7" x14ac:dyDescent="0.2">
      <c r="G117" s="2"/>
    </row>
  </sheetData>
  <autoFilter ref="B2:Q2"/>
  <phoneticPr fontId="2"/>
  <pageMargins left="0.59055118110236227" right="0.39370078740157483" top="0.78740157480314965" bottom="0.59055118110236227" header="0.51181102362204722" footer="0.51181102362204722"/>
  <pageSetup paperSize="9" scale="54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44" sqref="C44"/>
    </sheetView>
  </sheetViews>
  <sheetFormatPr defaultRowHeight="13.2" x14ac:dyDescent="0.2"/>
  <sheetData>
    <row r="1" spans="1:6" x14ac:dyDescent="0.2">
      <c r="A1" t="s">
        <v>84</v>
      </c>
      <c r="B1" t="s">
        <v>12</v>
      </c>
      <c r="C1" t="s">
        <v>43</v>
      </c>
      <c r="D1">
        <v>27</v>
      </c>
      <c r="E1" s="3">
        <f>180*200*27/10000</f>
        <v>97.2</v>
      </c>
    </row>
    <row r="2" spans="1:6" x14ac:dyDescent="0.2">
      <c r="B2" t="s">
        <v>14</v>
      </c>
      <c r="C2" t="s">
        <v>44</v>
      </c>
      <c r="D2">
        <v>4</v>
      </c>
      <c r="E2" s="3">
        <f>140*200*4/10000</f>
        <v>11.2</v>
      </c>
    </row>
    <row r="3" spans="1:6" x14ac:dyDescent="0.2">
      <c r="B3" t="s">
        <v>13</v>
      </c>
      <c r="C3" t="s">
        <v>45</v>
      </c>
      <c r="D3">
        <v>12</v>
      </c>
      <c r="E3" s="3">
        <f>90*200*12/10000</f>
        <v>21.6</v>
      </c>
    </row>
    <row r="4" spans="1:6" x14ac:dyDescent="0.2">
      <c r="A4" t="s">
        <v>46</v>
      </c>
      <c r="B4" t="s">
        <v>12</v>
      </c>
      <c r="C4" t="s">
        <v>43</v>
      </c>
      <c r="D4">
        <v>60</v>
      </c>
      <c r="E4" s="3">
        <f>180*200*60/10000</f>
        <v>216</v>
      </c>
    </row>
    <row r="5" spans="1:6" x14ac:dyDescent="0.2">
      <c r="B5" t="s">
        <v>13</v>
      </c>
      <c r="C5" t="s">
        <v>45</v>
      </c>
      <c r="D5">
        <v>4</v>
      </c>
      <c r="E5" s="3">
        <f>90*200*4/10000</f>
        <v>7.2</v>
      </c>
    </row>
    <row r="6" spans="1:6" x14ac:dyDescent="0.2">
      <c r="A6" t="s">
        <v>47</v>
      </c>
      <c r="B6" t="s">
        <v>12</v>
      </c>
      <c r="C6" t="s">
        <v>43</v>
      </c>
      <c r="D6">
        <v>24</v>
      </c>
      <c r="E6" s="3">
        <f>180*200*24/10000</f>
        <v>86.4</v>
      </c>
    </row>
    <row r="7" spans="1:6" x14ac:dyDescent="0.2">
      <c r="B7" t="s">
        <v>13</v>
      </c>
      <c r="C7" t="s">
        <v>45</v>
      </c>
      <c r="D7">
        <v>3</v>
      </c>
      <c r="E7" s="3">
        <f>90*200*3/10000</f>
        <v>5.4</v>
      </c>
    </row>
    <row r="8" spans="1:6" x14ac:dyDescent="0.2">
      <c r="B8" t="s">
        <v>74</v>
      </c>
      <c r="C8" t="s">
        <v>48</v>
      </c>
      <c r="D8">
        <v>1</v>
      </c>
      <c r="E8" s="3">
        <f>75*200*1/10000</f>
        <v>1.5</v>
      </c>
    </row>
    <row r="9" spans="1:6" x14ac:dyDescent="0.2">
      <c r="D9">
        <f>SUM(D1:D8)</f>
        <v>135</v>
      </c>
      <c r="E9" s="2">
        <f>SUM(E1:E8)</f>
        <v>446.5</v>
      </c>
      <c r="F9" t="s">
        <v>77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面積等調書1</vt:lpstr>
      <vt:lpstr>面積等調書2</vt:lpstr>
      <vt:lpstr>Sheet1 (3)</vt:lpstr>
      <vt:lpstr>面積等調書1!Print_Area</vt:lpstr>
      <vt:lpstr>面積等調書2!Print_Area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県南広域総務部</dc:creator>
  <cp:lastModifiedBy>100239</cp:lastModifiedBy>
  <cp:lastPrinted>2021-03-30T04:27:32Z</cp:lastPrinted>
  <dcterms:created xsi:type="dcterms:W3CDTF">2002-03-09T06:07:20Z</dcterms:created>
  <dcterms:modified xsi:type="dcterms:W3CDTF">2023-03-05T05:52:58Z</dcterms:modified>
</cp:coreProperties>
</file>